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<sst xmlns="http://schemas.openxmlformats.org/spreadsheetml/2006/main" count="264" uniqueCount="154">
  <si>
    <t>2025年生产部5月接收处置记录统计表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</si>
  <si>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</si>
  <si>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</si>
  <si>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</si>
  <si>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</si>
  <si>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</si>
  <si>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</si>
  <si>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</si>
  <si>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</si>
  <si>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</si>
  <si>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</si>
  <si>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干化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</si>
  <si>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</si>
  <si>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</si>
  <si>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</si>
  <si>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</si>
  <si>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</si>
  <si>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</si>
  <si>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</si>
  <si>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</si>
  <si>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</si>
  <si>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</si>
  <si>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</si>
  <si>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污泥干化</t>
  </si>
  <si>
    <t>焚烧处置</t>
  </si>
  <si>
    <t>液体炉</t>
  </si>
  <si>
    <t>拉运</t>
  </si>
  <si>
    <t>反应残渣2</t>
  </si>
  <si>
    <t>271-001-02</t>
  </si>
  <si>
    <t>固态</t>
  </si>
  <si>
    <t>炉渣（回转窑）</t>
  </si>
  <si>
    <t>过滤介质</t>
  </si>
  <si>
    <t>271-003-02</t>
  </si>
  <si>
    <t>飞灰（回转窑）</t>
  </si>
  <si>
    <t>废盐</t>
  </si>
  <si>
    <t>271-005-02</t>
  </si>
  <si>
    <t>飞灰（废液炉）</t>
  </si>
  <si>
    <t>一般废药品</t>
  </si>
  <si>
    <t>900-002-03</t>
  </si>
  <si>
    <t>废油渣/泥</t>
  </si>
  <si>
    <t>精馏切水后剩下的罐底泥</t>
  </si>
  <si>
    <t>磷化铝、杀虫剂</t>
  </si>
  <si>
    <t>900-003-04</t>
  </si>
  <si>
    <t>含油污水</t>
  </si>
  <si>
    <t>蒸汽清洗过程</t>
  </si>
  <si>
    <t>废有机溶剂及废物</t>
  </si>
  <si>
    <t>900-402-06</t>
  </si>
  <si>
    <t>液态</t>
  </si>
  <si>
    <t>废商标</t>
  </si>
  <si>
    <t>除商标</t>
  </si>
  <si>
    <t>废有机溶剂</t>
  </si>
  <si>
    <t>900-404-06</t>
  </si>
  <si>
    <t>废残液</t>
  </si>
  <si>
    <t>抽残液</t>
  </si>
  <si>
    <t>900-407-06</t>
  </si>
  <si>
    <t>废渣</t>
  </si>
  <si>
    <t>清洗过程</t>
  </si>
  <si>
    <t>油污水</t>
  </si>
  <si>
    <t>251-001-08</t>
  </si>
  <si>
    <t>漆渣</t>
  </si>
  <si>
    <t>废溶剂油</t>
  </si>
  <si>
    <t>291-001-08</t>
  </si>
  <si>
    <t>半固态</t>
  </si>
  <si>
    <t>污水厂污泥</t>
  </si>
  <si>
    <t>水处理后产生的污泥</t>
  </si>
  <si>
    <t>含油岩屑</t>
  </si>
  <si>
    <t>071-002-08</t>
  </si>
  <si>
    <t>废清洗剂</t>
  </si>
  <si>
    <t>清洗剂清洗过程</t>
  </si>
  <si>
    <t>研磨泥</t>
  </si>
  <si>
    <t>900-200-08</t>
  </si>
  <si>
    <t>HW08废油</t>
  </si>
  <si>
    <t>废煤油</t>
  </si>
  <si>
    <t>900-201-08</t>
  </si>
  <si>
    <t>废润滑脂</t>
  </si>
  <si>
    <t>900-209-08</t>
  </si>
  <si>
    <t>水处理浮渣及污泥</t>
  </si>
  <si>
    <t>900-210-08</t>
  </si>
  <si>
    <t>废机油、含油废水</t>
  </si>
  <si>
    <t>废油泥</t>
  </si>
  <si>
    <t>废白土</t>
  </si>
  <si>
    <t>900-213-08</t>
  </si>
  <si>
    <t>废矿物油</t>
  </si>
  <si>
    <t>900-214-08</t>
  </si>
  <si>
    <t>900-217-08</t>
  </si>
  <si>
    <t>废液压油</t>
  </si>
  <si>
    <t>900-218-08</t>
  </si>
  <si>
    <t>废冷冻机油</t>
  </si>
  <si>
    <t>900-219-08</t>
  </si>
  <si>
    <t>废矿物油与含矿物油废物</t>
  </si>
  <si>
    <t>900-220-08</t>
  </si>
  <si>
    <t>900-249-08</t>
  </si>
  <si>
    <t>废矿物油、废油桶</t>
  </si>
  <si>
    <t>废矿物油、油泥</t>
  </si>
  <si>
    <t>废水、乳化液</t>
  </si>
  <si>
    <t>900-007-09</t>
  </si>
  <si>
    <t>废乳化液</t>
  </si>
  <si>
    <t>900-006-09</t>
  </si>
  <si>
    <t>砂轮沫</t>
  </si>
  <si>
    <t>废焦油渣</t>
  </si>
  <si>
    <t>252-005-11</t>
  </si>
  <si>
    <t>废水汽提塔排重质烃</t>
  </si>
  <si>
    <t>252-009-11</t>
  </si>
  <si>
    <t>煤焦油、釜残</t>
  </si>
  <si>
    <t>900-013-11</t>
  </si>
  <si>
    <t>煤焦油</t>
  </si>
  <si>
    <t>釜残</t>
  </si>
  <si>
    <t>451-003-11</t>
  </si>
  <si>
    <t>900-250-12</t>
  </si>
  <si>
    <t>废彩涂液</t>
  </si>
  <si>
    <t>900-252-12</t>
  </si>
  <si>
    <t>废漆渣</t>
  </si>
  <si>
    <t>油墨渣子、油漆</t>
  </si>
  <si>
    <t>900-299-12</t>
  </si>
  <si>
    <t>硒鼓墨盒</t>
  </si>
  <si>
    <t>油漆渣</t>
  </si>
  <si>
    <t>发泡废料，废胶水</t>
  </si>
  <si>
    <t>900-014-13</t>
  </si>
  <si>
    <t>废树脂</t>
  </si>
  <si>
    <t>900-015-13</t>
  </si>
  <si>
    <t>有机树脂废物</t>
  </si>
  <si>
    <t>900-016-13</t>
  </si>
  <si>
    <t>PBL真空废液</t>
  </si>
  <si>
    <t>265-101-13</t>
  </si>
  <si>
    <t>镀铜溶液</t>
  </si>
  <si>
    <t>336-062-17</t>
  </si>
  <si>
    <t>磷化污泥</t>
  </si>
  <si>
    <t>336-064-17</t>
  </si>
  <si>
    <t>金属表面处理污泥</t>
  </si>
  <si>
    <t>污泥</t>
  </si>
  <si>
    <t>336-069-17</t>
  </si>
  <si>
    <t>废碱液</t>
  </si>
  <si>
    <t>251-015-35</t>
  </si>
  <si>
    <t>废碱泥</t>
  </si>
  <si>
    <t>900-352-35</t>
  </si>
  <si>
    <t>含酚废水</t>
  </si>
  <si>
    <t>261-070-39</t>
  </si>
  <si>
    <t>含油废物</t>
  </si>
  <si>
    <t>900-041-49</t>
  </si>
  <si>
    <t>废酸碱袋</t>
  </si>
  <si>
    <t>900-042-49</t>
  </si>
  <si>
    <t>772-006-49</t>
  </si>
  <si>
    <t>废活性炭</t>
  </si>
  <si>
    <t>900-039-49</t>
  </si>
  <si>
    <t>废水污泥</t>
  </si>
  <si>
    <t>900-046-49</t>
  </si>
  <si>
    <t>过期化学药品</t>
  </si>
  <si>
    <t>900-047-49</t>
  </si>
  <si>
    <t>乙腈、异丙酮、废液</t>
  </si>
  <si>
    <t>过期药品</t>
  </si>
  <si>
    <t>900-999-49</t>
  </si>
  <si>
    <t>过期面膜原料、残液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</si>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</sst>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5"/>
  <sheetViews>
    <sheetView tabSelected="1" topLeftCell="D1" workbookViewId="0">
      <selection activeCell="U4" sqref="U4"/>
    </sheetView>
  </sheetViews>
  <sheetFormatPr defaultColWidth="9" defaultRowHeight="13.5"/>
  <cols>
    <col min="1" max="1" width="17.75" style="1" customWidth="1"/>
    <col min="2" max="2" width="10.75" style="1" customWidth="1"/>
    <col min="3" max="3" width="6.5" style="1" customWidth="1"/>
    <col min="4" max="4" width="12" style="1" customWidth="1"/>
    <col min="5" max="5" width="12.125" style="1" customWidth="1"/>
    <col min="6" max="6" width="12.375" style="1" customWidth="1"/>
    <col min="7" max="7" width="10.5" style="1" customWidth="1"/>
    <col min="8" max="8" width="10.25" style="1" customWidth="1"/>
    <col min="9" max="9" width="8.25" style="1" customWidth="1"/>
    <col min="10" max="10" width="13.1416666666667" style="1" customWidth="1"/>
    <col min="11" max="11" width="12.5" style="1" customWidth="1"/>
    <col min="12" max="12" width="10.5" style="1" customWidth="1"/>
    <col min="13" max="13" width="9.375" style="1"/>
    <col min="14" max="14" width="11.75" style="1" customWidth="1"/>
    <col min="15" max="15" width="6.875" style="1" customWidth="1"/>
    <col min="16" max="16" width="12.625" style="1"/>
    <col min="17" max="16380" width="9" style="1"/>
  </cols>
  <sheetData>
    <row r="1" s="1" customFormat="1" ht="40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R1" s="26" t="s">
        <v>1</v>
      </c>
      <c r="S1" s="26"/>
      <c r="T1" s="26"/>
      <c r="U1" s="26"/>
      <c r="V1" s="26"/>
      <c r="W1" s="26"/>
      <c r="X1" s="26"/>
      <c r="Y1" s="26"/>
      <c r="Z1" s="26"/>
      <c r="AA1" s="26"/>
    </row>
    <row r="2" s="2" customFormat="1" ht="18" customHeight="1" spans="1:2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6"/>
      <c r="H2" s="6"/>
      <c r="I2" s="6"/>
      <c r="J2" s="4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/>
      <c r="R2" s="27" t="s">
        <v>2</v>
      </c>
      <c r="S2" s="27" t="s">
        <v>5</v>
      </c>
      <c r="T2" s="27" t="s">
        <v>14</v>
      </c>
      <c r="U2" s="28" t="s">
        <v>15</v>
      </c>
      <c r="V2" s="27" t="s">
        <v>16</v>
      </c>
      <c r="W2" s="27"/>
      <c r="X2" s="27"/>
      <c r="Y2" s="28" t="s">
        <v>17</v>
      </c>
      <c r="Z2" s="33" t="s">
        <v>18</v>
      </c>
      <c r="AA2" s="33" t="s">
        <v>19</v>
      </c>
    </row>
    <row r="3" s="2" customFormat="1" ht="18" customHeight="1" spans="1:27">
      <c r="A3" s="7"/>
      <c r="B3" s="7"/>
      <c r="C3" s="7"/>
      <c r="D3" s="7"/>
      <c r="E3" s="7"/>
      <c r="F3" s="8" t="s">
        <v>20</v>
      </c>
      <c r="G3" s="8" t="s">
        <v>21</v>
      </c>
      <c r="H3" s="8" t="s">
        <v>22</v>
      </c>
      <c r="I3" s="8" t="s">
        <v>23</v>
      </c>
      <c r="J3" s="7"/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/>
      <c r="R3" s="27"/>
      <c r="S3" s="27"/>
      <c r="T3" s="27"/>
      <c r="U3" s="29"/>
      <c r="V3" s="27" t="s">
        <v>24</v>
      </c>
      <c r="W3" s="27" t="s">
        <v>25</v>
      </c>
      <c r="X3" s="27" t="s">
        <v>26</v>
      </c>
      <c r="Y3" s="29"/>
      <c r="Z3" s="33"/>
      <c r="AA3" s="33"/>
    </row>
    <row r="4" s="2" customFormat="1" ht="18" customHeight="1" spans="1:27">
      <c r="A4" s="9" t="s">
        <v>27</v>
      </c>
      <c r="B4" s="8" t="s">
        <v>28</v>
      </c>
      <c r="C4" s="8" t="s">
        <v>29</v>
      </c>
      <c r="D4" s="8">
        <v>0</v>
      </c>
      <c r="E4" s="8">
        <f>3</f>
        <v>3</v>
      </c>
      <c r="F4" s="10"/>
      <c r="G4" s="10"/>
      <c r="H4" s="10"/>
      <c r="I4" s="10"/>
      <c r="J4" s="8">
        <f t="shared" ref="J4:J67" si="0">D4+E4-F4-G4-H4-I4</f>
        <v>3</v>
      </c>
      <c r="K4" s="25">
        <v>3</v>
      </c>
      <c r="L4" s="25"/>
      <c r="M4" s="25"/>
      <c r="N4" s="25"/>
      <c r="O4" s="25"/>
      <c r="P4" s="25">
        <f t="shared" ref="P4:P17" si="1">K4+L4+M4+N4+O4</f>
        <v>3</v>
      </c>
      <c r="R4" s="30" t="s">
        <v>30</v>
      </c>
      <c r="S4" s="27">
        <v>242.935</v>
      </c>
      <c r="T4" s="27">
        <f>165.865-20.44-17.095-0.802</f>
        <v>127.528</v>
      </c>
      <c r="U4" s="27">
        <v>104</v>
      </c>
      <c r="V4" s="27"/>
      <c r="W4" s="27"/>
      <c r="X4" s="27">
        <v>93.495</v>
      </c>
      <c r="Y4" s="27">
        <f t="shared" ref="Y4:Y14" si="2">S4+T4-V4-X4-W4</f>
        <v>276.968</v>
      </c>
      <c r="Z4" s="25"/>
      <c r="AA4" s="25"/>
    </row>
    <row r="5" s="2" customFormat="1" ht="18" customHeight="1" spans="1:27">
      <c r="A5" s="11" t="s">
        <v>31</v>
      </c>
      <c r="B5" s="8" t="s">
        <v>32</v>
      </c>
      <c r="C5" s="8" t="s">
        <v>29</v>
      </c>
      <c r="D5" s="8">
        <v>0</v>
      </c>
      <c r="E5" s="8">
        <f>1.92</f>
        <v>1.92</v>
      </c>
      <c r="F5" s="10"/>
      <c r="G5" s="10"/>
      <c r="H5" s="10"/>
      <c r="I5" s="10"/>
      <c r="J5" s="8">
        <f t="shared" si="0"/>
        <v>1.92</v>
      </c>
      <c r="K5" s="25">
        <v>1.92</v>
      </c>
      <c r="L5" s="25"/>
      <c r="M5" s="25"/>
      <c r="N5" s="25"/>
      <c r="O5" s="25"/>
      <c r="P5" s="25">
        <f t="shared" si="1"/>
        <v>1.92</v>
      </c>
      <c r="R5" s="30" t="s">
        <v>33</v>
      </c>
      <c r="S5" s="31">
        <v>26.203</v>
      </c>
      <c r="T5" s="27">
        <v>22.505</v>
      </c>
      <c r="U5" s="27">
        <v>54</v>
      </c>
      <c r="V5" s="27"/>
      <c r="W5" s="27"/>
      <c r="X5" s="27">
        <v>39.08</v>
      </c>
      <c r="Y5" s="27">
        <f t="shared" si="2"/>
        <v>9.628</v>
      </c>
      <c r="Z5" s="25"/>
      <c r="AA5" s="25"/>
    </row>
    <row r="6" s="2" customFormat="1" ht="18" customHeight="1" spans="1:27">
      <c r="A6" s="12" t="s">
        <v>34</v>
      </c>
      <c r="B6" s="8" t="s">
        <v>35</v>
      </c>
      <c r="C6" s="8" t="s">
        <v>29</v>
      </c>
      <c r="D6" s="8">
        <v>5</v>
      </c>
      <c r="E6" s="8"/>
      <c r="F6" s="10">
        <f>5</f>
        <v>5</v>
      </c>
      <c r="G6" s="10"/>
      <c r="H6" s="10"/>
      <c r="I6" s="10"/>
      <c r="J6" s="8">
        <f t="shared" si="0"/>
        <v>0</v>
      </c>
      <c r="K6" s="25"/>
      <c r="L6" s="25"/>
      <c r="M6" s="25"/>
      <c r="N6" s="25"/>
      <c r="O6" s="25"/>
      <c r="P6" s="25">
        <f t="shared" si="1"/>
        <v>0</v>
      </c>
      <c r="R6" s="30" t="s">
        <v>36</v>
      </c>
      <c r="S6" s="31">
        <v>3.625</v>
      </c>
      <c r="T6" s="27">
        <v>6.11</v>
      </c>
      <c r="U6" s="27">
        <v>15</v>
      </c>
      <c r="V6" s="27"/>
      <c r="W6" s="29"/>
      <c r="X6" s="29">
        <v>6.05</v>
      </c>
      <c r="Y6" s="27">
        <f t="shared" si="2"/>
        <v>3.685</v>
      </c>
      <c r="Z6" s="25"/>
      <c r="AA6" s="25"/>
    </row>
    <row r="7" s="2" customFormat="1" ht="18" customHeight="1" spans="1:27">
      <c r="A7" s="11" t="s">
        <v>37</v>
      </c>
      <c r="B7" s="8" t="s">
        <v>38</v>
      </c>
      <c r="C7" s="8" t="s">
        <v>29</v>
      </c>
      <c r="D7" s="8">
        <v>0</v>
      </c>
      <c r="E7" s="8">
        <f>11.42</f>
        <v>11.42</v>
      </c>
      <c r="F7" s="10"/>
      <c r="G7" s="10"/>
      <c r="H7" s="10"/>
      <c r="I7" s="10"/>
      <c r="J7" s="8">
        <f t="shared" si="0"/>
        <v>11.42</v>
      </c>
      <c r="K7" s="25"/>
      <c r="L7" s="25">
        <v>11.42</v>
      </c>
      <c r="M7" s="25"/>
      <c r="N7" s="25"/>
      <c r="O7" s="25"/>
      <c r="P7" s="25">
        <f t="shared" si="1"/>
        <v>11.42</v>
      </c>
      <c r="R7" s="30" t="s">
        <v>39</v>
      </c>
      <c r="S7" s="27">
        <v>0</v>
      </c>
      <c r="T7" s="27"/>
      <c r="U7" s="27"/>
      <c r="V7" s="27"/>
      <c r="W7" s="27"/>
      <c r="X7" s="27"/>
      <c r="Y7" s="27">
        <f t="shared" si="2"/>
        <v>0</v>
      </c>
      <c r="Z7" s="25" t="s">
        <v>40</v>
      </c>
      <c r="AA7" s="25"/>
    </row>
    <row r="8" s="2" customFormat="1" ht="18" customHeight="1" spans="1:27">
      <c r="A8" s="13" t="s">
        <v>41</v>
      </c>
      <c r="B8" s="8" t="s">
        <v>42</v>
      </c>
      <c r="C8" s="8" t="s">
        <v>29</v>
      </c>
      <c r="D8" s="8">
        <v>0</v>
      </c>
      <c r="E8" s="8">
        <f>0.14+0.14</f>
        <v>0.28</v>
      </c>
      <c r="F8" s="10">
        <f>0.14+0.14</f>
        <v>0.28</v>
      </c>
      <c r="G8" s="10"/>
      <c r="H8" s="10"/>
      <c r="I8" s="10"/>
      <c r="J8" s="8">
        <f t="shared" si="0"/>
        <v>0</v>
      </c>
      <c r="K8" s="25"/>
      <c r="L8" s="25"/>
      <c r="M8" s="25"/>
      <c r="N8" s="25"/>
      <c r="O8" s="25"/>
      <c r="P8" s="25">
        <f t="shared" si="1"/>
        <v>0</v>
      </c>
      <c r="R8" s="9" t="s">
        <v>43</v>
      </c>
      <c r="S8" s="32">
        <v>0</v>
      </c>
      <c r="T8" s="33">
        <v>1.31</v>
      </c>
      <c r="U8" s="33"/>
      <c r="V8" s="33">
        <v>1.31</v>
      </c>
      <c r="W8" s="33"/>
      <c r="X8" s="33"/>
      <c r="Y8" s="27">
        <f t="shared" si="2"/>
        <v>0</v>
      </c>
      <c r="Z8" s="25" t="s">
        <v>44</v>
      </c>
      <c r="AA8" s="25" t="s">
        <v>10</v>
      </c>
    </row>
    <row r="9" s="2" customFormat="1" ht="18" customHeight="1" spans="1:27">
      <c r="A9" s="11" t="s">
        <v>45</v>
      </c>
      <c r="B9" s="8" t="s">
        <v>46</v>
      </c>
      <c r="C9" s="8" t="s">
        <v>47</v>
      </c>
      <c r="D9" s="8">
        <v>59.6385</v>
      </c>
      <c r="E9" s="8">
        <f>1.8+3.221+0.1+6.8642+21.02+5.52+2.158</f>
        <v>40.6832</v>
      </c>
      <c r="F9" s="10">
        <f>0.01+0.012+0.015+0.012+3.6337</f>
        <v>3.6827</v>
      </c>
      <c r="G9" s="10">
        <f>0.086</f>
        <v>0.086</v>
      </c>
      <c r="H9" s="10"/>
      <c r="I9" s="10"/>
      <c r="J9" s="8">
        <f t="shared" si="0"/>
        <v>96.553</v>
      </c>
      <c r="K9" s="25"/>
      <c r="L9" s="25">
        <v>96.553</v>
      </c>
      <c r="M9" s="25"/>
      <c r="N9" s="25"/>
      <c r="O9" s="25"/>
      <c r="P9" s="25">
        <f t="shared" si="1"/>
        <v>96.553</v>
      </c>
      <c r="R9" s="9" t="s">
        <v>48</v>
      </c>
      <c r="S9" s="8">
        <v>0</v>
      </c>
      <c r="T9" s="33">
        <v>0.445</v>
      </c>
      <c r="U9" s="33"/>
      <c r="V9" s="33">
        <v>0.445</v>
      </c>
      <c r="W9" s="33"/>
      <c r="X9" s="25"/>
      <c r="Y9" s="27">
        <f t="shared" si="2"/>
        <v>0</v>
      </c>
      <c r="Z9" s="25" t="s">
        <v>49</v>
      </c>
      <c r="AA9" s="25" t="s">
        <v>10</v>
      </c>
    </row>
    <row r="10" s="2" customFormat="1" ht="18" customHeight="1" spans="1:27">
      <c r="A10" s="9" t="s">
        <v>50</v>
      </c>
      <c r="B10" s="14" t="s">
        <v>51</v>
      </c>
      <c r="C10" s="8" t="s">
        <v>47</v>
      </c>
      <c r="D10" s="8">
        <v>27.2319999999999</v>
      </c>
      <c r="E10" s="8">
        <f>4.9811+1.357+0.525</f>
        <v>6.8631</v>
      </c>
      <c r="F10" s="10">
        <f>4.9811</f>
        <v>4.9811</v>
      </c>
      <c r="G10" s="10">
        <f>17.39</f>
        <v>17.39</v>
      </c>
      <c r="H10" s="10"/>
      <c r="I10" s="10"/>
      <c r="J10" s="8">
        <f t="shared" si="0"/>
        <v>11.7239999999999</v>
      </c>
      <c r="K10" s="25"/>
      <c r="L10" s="25">
        <v>11.724</v>
      </c>
      <c r="M10" s="25"/>
      <c r="N10" s="25"/>
      <c r="O10" s="25"/>
      <c r="P10" s="25">
        <f t="shared" si="1"/>
        <v>11.724</v>
      </c>
      <c r="R10" s="9" t="s">
        <v>52</v>
      </c>
      <c r="S10" s="32">
        <v>0</v>
      </c>
      <c r="T10" s="33">
        <v>1.13</v>
      </c>
      <c r="U10" s="33"/>
      <c r="V10" s="33">
        <v>1.13</v>
      </c>
      <c r="W10" s="33"/>
      <c r="X10" s="25"/>
      <c r="Y10" s="27">
        <f t="shared" si="2"/>
        <v>0</v>
      </c>
      <c r="Z10" s="25" t="s">
        <v>53</v>
      </c>
      <c r="AA10" s="25" t="s">
        <v>10</v>
      </c>
    </row>
    <row r="11" s="2" customFormat="1" ht="18" customHeight="1" spans="1:27">
      <c r="A11" s="12" t="s">
        <v>50</v>
      </c>
      <c r="B11" s="14" t="s">
        <v>54</v>
      </c>
      <c r="C11" s="8" t="s">
        <v>47</v>
      </c>
      <c r="D11" s="8">
        <v>164.1105</v>
      </c>
      <c r="E11" s="8">
        <f>17.13</f>
        <v>17.13</v>
      </c>
      <c r="F11" s="10"/>
      <c r="G11" s="10">
        <f>14.3925</f>
        <v>14.3925</v>
      </c>
      <c r="H11" s="10"/>
      <c r="I11" s="10"/>
      <c r="J11" s="8">
        <f t="shared" si="0"/>
        <v>166.848</v>
      </c>
      <c r="K11" s="25"/>
      <c r="L11" s="25">
        <v>166.848</v>
      </c>
      <c r="M11" s="25"/>
      <c r="N11" s="25"/>
      <c r="O11" s="25"/>
      <c r="P11" s="25">
        <f t="shared" si="1"/>
        <v>166.848</v>
      </c>
      <c r="R11" s="9" t="s">
        <v>55</v>
      </c>
      <c r="S11" s="8">
        <v>0</v>
      </c>
      <c r="T11" s="33">
        <v>0.43</v>
      </c>
      <c r="U11" s="33"/>
      <c r="V11" s="33">
        <v>0.43</v>
      </c>
      <c r="W11" s="33"/>
      <c r="X11" s="25"/>
      <c r="Y11" s="27">
        <f t="shared" si="2"/>
        <v>0</v>
      </c>
      <c r="Z11" s="25" t="s">
        <v>56</v>
      </c>
      <c r="AA11" s="25" t="s">
        <v>10</v>
      </c>
    </row>
    <row r="12" s="2" customFormat="1" ht="18" customHeight="1" spans="1:27">
      <c r="A12" s="12" t="s">
        <v>57</v>
      </c>
      <c r="B12" s="14" t="s">
        <v>58</v>
      </c>
      <c r="C12" s="8" t="s">
        <v>47</v>
      </c>
      <c r="D12" s="8">
        <v>703.19</v>
      </c>
      <c r="E12" s="8"/>
      <c r="F12" s="10"/>
      <c r="G12" s="10"/>
      <c r="H12" s="10"/>
      <c r="I12" s="10"/>
      <c r="J12" s="8">
        <f t="shared" si="0"/>
        <v>703.19</v>
      </c>
      <c r="K12" s="25"/>
      <c r="L12" s="25"/>
      <c r="M12" s="25"/>
      <c r="N12" s="25">
        <v>703.19</v>
      </c>
      <c r="O12" s="25"/>
      <c r="P12" s="25">
        <f t="shared" si="1"/>
        <v>703.19</v>
      </c>
      <c r="R12" s="9" t="s">
        <v>59</v>
      </c>
      <c r="S12" s="32">
        <v>0</v>
      </c>
      <c r="T12" s="8"/>
      <c r="U12" s="8"/>
      <c r="V12" s="8"/>
      <c r="W12" s="8"/>
      <c r="X12" s="25"/>
      <c r="Y12" s="27">
        <f t="shared" si="2"/>
        <v>0</v>
      </c>
      <c r="Z12" s="25" t="s">
        <v>56</v>
      </c>
      <c r="AA12" s="25"/>
    </row>
    <row r="13" s="2" customFormat="1" ht="18" customHeight="1" spans="1:27">
      <c r="A13" s="12" t="s">
        <v>60</v>
      </c>
      <c r="B13" s="14" t="s">
        <v>61</v>
      </c>
      <c r="C13" s="8" t="s">
        <v>62</v>
      </c>
      <c r="D13" s="8">
        <v>15.3</v>
      </c>
      <c r="E13" s="8">
        <f>18.98</f>
        <v>18.98</v>
      </c>
      <c r="F13" s="10"/>
      <c r="G13" s="10"/>
      <c r="H13" s="10"/>
      <c r="I13" s="10"/>
      <c r="J13" s="8">
        <f t="shared" si="0"/>
        <v>34.28</v>
      </c>
      <c r="K13" s="25">
        <f>34.28-15</f>
        <v>19.28</v>
      </c>
      <c r="L13" s="25"/>
      <c r="M13" s="25"/>
      <c r="N13" s="25"/>
      <c r="O13" s="25">
        <f>15</f>
        <v>15</v>
      </c>
      <c r="P13" s="25">
        <f t="shared" si="1"/>
        <v>34.28</v>
      </c>
      <c r="R13" s="25" t="s">
        <v>63</v>
      </c>
      <c r="S13" s="33">
        <v>0</v>
      </c>
      <c r="T13" s="33">
        <v>1.9</v>
      </c>
      <c r="U13" s="33"/>
      <c r="V13" s="33">
        <v>1.9</v>
      </c>
      <c r="W13" s="33"/>
      <c r="X13" s="33"/>
      <c r="Y13" s="27">
        <f t="shared" si="2"/>
        <v>0</v>
      </c>
      <c r="Z13" s="25" t="s">
        <v>64</v>
      </c>
      <c r="AA13" s="25" t="s">
        <v>10</v>
      </c>
    </row>
    <row r="14" s="2" customFormat="1" ht="18" customHeight="1" spans="1:27">
      <c r="A14" s="9" t="s">
        <v>65</v>
      </c>
      <c r="B14" s="37" t="s">
        <v>66</v>
      </c>
      <c r="C14" s="11" t="s">
        <v>62</v>
      </c>
      <c r="D14" s="8">
        <v>74.28</v>
      </c>
      <c r="E14" s="8"/>
      <c r="F14" s="10">
        <f>7.75+11.08+7.75+2.21+4.43+11.08+5.54+5.54+12.22+6.68</f>
        <v>74.28</v>
      </c>
      <c r="G14" s="10"/>
      <c r="H14" s="10"/>
      <c r="I14" s="10"/>
      <c r="J14" s="8">
        <f t="shared" si="0"/>
        <v>0</v>
      </c>
      <c r="K14" s="25"/>
      <c r="L14" s="25"/>
      <c r="M14" s="25"/>
      <c r="N14" s="25"/>
      <c r="O14" s="25"/>
      <c r="P14" s="25">
        <f t="shared" si="1"/>
        <v>0</v>
      </c>
      <c r="R14" s="25" t="s">
        <v>67</v>
      </c>
      <c r="S14" s="33">
        <v>0</v>
      </c>
      <c r="T14" s="33"/>
      <c r="U14" s="33"/>
      <c r="V14" s="33"/>
      <c r="W14" s="33"/>
      <c r="X14" s="33"/>
      <c r="Y14" s="27">
        <f t="shared" si="2"/>
        <v>0</v>
      </c>
      <c r="Z14" s="25" t="s">
        <v>68</v>
      </c>
      <c r="AA14" s="25"/>
    </row>
    <row r="15" s="2" customFormat="1" ht="18" customHeight="1" spans="1:16">
      <c r="A15" s="12" t="s">
        <v>69</v>
      </c>
      <c r="B15" s="8" t="s">
        <v>70</v>
      </c>
      <c r="C15" s="8" t="s">
        <v>29</v>
      </c>
      <c r="D15" s="8">
        <v>0</v>
      </c>
      <c r="E15" s="8">
        <f>16.08+13.4475</f>
        <v>29.5275</v>
      </c>
      <c r="F15" s="10">
        <f>16.08</f>
        <v>16.08</v>
      </c>
      <c r="G15" s="10"/>
      <c r="H15" s="10"/>
      <c r="I15" s="10"/>
      <c r="J15" s="8">
        <f t="shared" si="0"/>
        <v>13.4475</v>
      </c>
      <c r="K15" s="25"/>
      <c r="L15" s="25">
        <v>13.4475</v>
      </c>
      <c r="M15" s="25"/>
      <c r="N15" s="25"/>
      <c r="O15" s="25"/>
      <c r="P15" s="25">
        <f t="shared" si="1"/>
        <v>13.4475</v>
      </c>
    </row>
    <row r="16" s="2" customFormat="1" ht="18" customHeight="1" spans="1:16">
      <c r="A16" s="11" t="s">
        <v>71</v>
      </c>
      <c r="B16" s="8" t="s">
        <v>70</v>
      </c>
      <c r="C16" s="8" t="s">
        <v>47</v>
      </c>
      <c r="D16" s="8">
        <v>99.383</v>
      </c>
      <c r="E16" s="8"/>
      <c r="F16" s="10"/>
      <c r="G16" s="10"/>
      <c r="H16" s="10"/>
      <c r="I16" s="10"/>
      <c r="J16" s="8">
        <f t="shared" si="0"/>
        <v>99.383</v>
      </c>
      <c r="K16" s="25">
        <v>4.923</v>
      </c>
      <c r="L16" s="25"/>
      <c r="M16" s="25"/>
      <c r="N16" s="25">
        <v>94.46</v>
      </c>
      <c r="O16" s="25"/>
      <c r="P16" s="25">
        <f t="shared" si="1"/>
        <v>99.383</v>
      </c>
    </row>
    <row r="17" s="2" customFormat="1" ht="18" customHeight="1" spans="1:16">
      <c r="A17" s="12" t="s">
        <v>72</v>
      </c>
      <c r="B17" s="8" t="s">
        <v>73</v>
      </c>
      <c r="C17" s="8" t="s">
        <v>47</v>
      </c>
      <c r="D17" s="8">
        <v>0.62</v>
      </c>
      <c r="E17" s="8"/>
      <c r="F17" s="10"/>
      <c r="G17" s="10"/>
      <c r="H17" s="10"/>
      <c r="I17" s="10"/>
      <c r="J17" s="8">
        <f t="shared" si="0"/>
        <v>0.62</v>
      </c>
      <c r="K17" s="25"/>
      <c r="L17" s="25"/>
      <c r="M17" s="25"/>
      <c r="N17" s="25">
        <v>0.62</v>
      </c>
      <c r="O17" s="25"/>
      <c r="P17" s="25">
        <f t="shared" si="1"/>
        <v>0.62</v>
      </c>
    </row>
    <row r="18" s="2" customFormat="1" ht="18" customHeight="1" spans="1:16">
      <c r="A18" s="9" t="s">
        <v>74</v>
      </c>
      <c r="B18" s="8" t="s">
        <v>75</v>
      </c>
      <c r="C18" s="8" t="s">
        <v>62</v>
      </c>
      <c r="D18" s="8">
        <v>0</v>
      </c>
      <c r="E18" s="8">
        <f>0.042</f>
        <v>0.042</v>
      </c>
      <c r="F18" s="10">
        <f>0.042</f>
        <v>0.042</v>
      </c>
      <c r="G18" s="10"/>
      <c r="H18" s="10"/>
      <c r="I18" s="10"/>
      <c r="J18" s="8">
        <f t="shared" si="0"/>
        <v>0</v>
      </c>
      <c r="K18" s="25"/>
      <c r="L18" s="25"/>
      <c r="M18" s="25"/>
      <c r="N18" s="25"/>
      <c r="O18" s="25"/>
      <c r="P18" s="25"/>
    </row>
    <row r="19" s="2" customFormat="1" ht="18" customHeight="1" spans="1:16">
      <c r="A19" s="9" t="s">
        <v>76</v>
      </c>
      <c r="B19" s="8" t="s">
        <v>77</v>
      </c>
      <c r="C19" s="8" t="s">
        <v>62</v>
      </c>
      <c r="D19" s="8">
        <v>302.252</v>
      </c>
      <c r="E19" s="8">
        <f>3.474+1.16+16.12+0.082</f>
        <v>20.836</v>
      </c>
      <c r="F19" s="10">
        <f>23.16+5.042+3.474+1.16</f>
        <v>32.836</v>
      </c>
      <c r="G19" s="10"/>
      <c r="H19" s="10"/>
      <c r="I19" s="10"/>
      <c r="J19" s="8">
        <f t="shared" si="0"/>
        <v>290.252</v>
      </c>
      <c r="K19" s="25">
        <v>14.592</v>
      </c>
      <c r="L19" s="25">
        <v>24.52</v>
      </c>
      <c r="M19" s="25"/>
      <c r="N19" s="25">
        <v>251.14</v>
      </c>
      <c r="O19" s="25"/>
      <c r="P19" s="25">
        <f t="shared" ref="P19:P71" si="3">K19+L19+M19+N19+O19</f>
        <v>290.252</v>
      </c>
    </row>
    <row r="20" s="2" customFormat="1" ht="18" customHeight="1" spans="1:16">
      <c r="A20" s="15" t="s">
        <v>78</v>
      </c>
      <c r="B20" s="8" t="s">
        <v>77</v>
      </c>
      <c r="C20" s="8" t="s">
        <v>47</v>
      </c>
      <c r="D20" s="4">
        <v>94.1</v>
      </c>
      <c r="E20" s="4">
        <f>32.06+6.74</f>
        <v>38.8</v>
      </c>
      <c r="F20" s="10">
        <f>10+19.22</f>
        <v>29.22</v>
      </c>
      <c r="G20" s="10">
        <f>4</f>
        <v>4</v>
      </c>
      <c r="H20" s="10"/>
      <c r="I20" s="10"/>
      <c r="J20" s="8">
        <f t="shared" si="0"/>
        <v>99.68</v>
      </c>
      <c r="K20" s="25">
        <v>26.64</v>
      </c>
      <c r="L20" s="25">
        <v>58.74</v>
      </c>
      <c r="M20" s="25"/>
      <c r="N20" s="25">
        <v>14.3</v>
      </c>
      <c r="O20" s="25"/>
      <c r="P20" s="25">
        <f t="shared" si="3"/>
        <v>99.68</v>
      </c>
    </row>
    <row r="21" s="2" customFormat="1" ht="18" customHeight="1" spans="1:16">
      <c r="A21" s="9" t="s">
        <v>79</v>
      </c>
      <c r="B21" s="8" t="s">
        <v>77</v>
      </c>
      <c r="C21" s="8" t="s">
        <v>29</v>
      </c>
      <c r="D21" s="4">
        <v>70.48</v>
      </c>
      <c r="E21" s="4">
        <f>8.389+6.5065+8.426</f>
        <v>23.3215</v>
      </c>
      <c r="F21" s="10">
        <f>15+16.82+8.389+6.5065</f>
        <v>46.7155</v>
      </c>
      <c r="G21" s="10"/>
      <c r="H21" s="10"/>
      <c r="I21" s="10"/>
      <c r="J21" s="8">
        <f t="shared" si="0"/>
        <v>47.086</v>
      </c>
      <c r="K21" s="25">
        <v>38.66</v>
      </c>
      <c r="L21" s="25">
        <v>8.426</v>
      </c>
      <c r="M21" s="25"/>
      <c r="N21" s="25"/>
      <c r="O21" s="25"/>
      <c r="P21" s="25">
        <f t="shared" si="3"/>
        <v>47.086</v>
      </c>
    </row>
    <row r="22" s="2" customFormat="1" ht="18" customHeight="1" spans="1:16">
      <c r="A22" s="12" t="s">
        <v>80</v>
      </c>
      <c r="B22" s="8" t="s">
        <v>81</v>
      </c>
      <c r="C22" s="8" t="s">
        <v>29</v>
      </c>
      <c r="D22" s="8">
        <v>0</v>
      </c>
      <c r="E22" s="8">
        <f>28.6+26.4+30.92</f>
        <v>85.92</v>
      </c>
      <c r="F22" s="10">
        <f>10+10+8.6+26.4</f>
        <v>55</v>
      </c>
      <c r="G22" s="10"/>
      <c r="H22" s="10"/>
      <c r="I22" s="10"/>
      <c r="J22" s="8">
        <f t="shared" si="0"/>
        <v>30.92</v>
      </c>
      <c r="K22" s="25"/>
      <c r="L22" s="25">
        <v>30.92</v>
      </c>
      <c r="M22" s="25"/>
      <c r="N22" s="25"/>
      <c r="O22" s="25"/>
      <c r="P22" s="25">
        <f t="shared" si="3"/>
        <v>30.92</v>
      </c>
    </row>
    <row r="23" s="2" customFormat="1" ht="18" customHeight="1" spans="1:16">
      <c r="A23" s="11" t="s">
        <v>82</v>
      </c>
      <c r="B23" s="14" t="s">
        <v>83</v>
      </c>
      <c r="C23" s="8" t="s">
        <v>47</v>
      </c>
      <c r="D23" s="8">
        <v>85.89114</v>
      </c>
      <c r="E23" s="8">
        <f>0.037+0.18+0.11+0.0826</f>
        <v>0.4096</v>
      </c>
      <c r="F23" s="10"/>
      <c r="G23" s="10"/>
      <c r="H23" s="10"/>
      <c r="I23" s="10"/>
      <c r="J23" s="8">
        <f t="shared" si="0"/>
        <v>86.30074</v>
      </c>
      <c r="K23" s="25"/>
      <c r="L23" s="25"/>
      <c r="M23" s="25"/>
      <c r="N23" s="25">
        <v>86.30074</v>
      </c>
      <c r="O23" s="25"/>
      <c r="P23" s="25">
        <f t="shared" si="3"/>
        <v>86.30074</v>
      </c>
    </row>
    <row r="24" s="2" customFormat="1" ht="18" customHeight="1" spans="1:16">
      <c r="A24" s="9" t="s">
        <v>82</v>
      </c>
      <c r="B24" s="16" t="s">
        <v>84</v>
      </c>
      <c r="C24" s="8" t="s">
        <v>47</v>
      </c>
      <c r="D24" s="8">
        <v>53.35755</v>
      </c>
      <c r="E24" s="8">
        <f>5.32+0.41</f>
        <v>5.73</v>
      </c>
      <c r="F24" s="10"/>
      <c r="G24" s="10"/>
      <c r="H24" s="10"/>
      <c r="I24" s="10"/>
      <c r="J24" s="8">
        <f t="shared" si="0"/>
        <v>59.08755</v>
      </c>
      <c r="K24" s="25"/>
      <c r="L24" s="25"/>
      <c r="M24" s="25"/>
      <c r="N24" s="25">
        <v>59.08755</v>
      </c>
      <c r="O24" s="25"/>
      <c r="P24" s="25">
        <f t="shared" si="3"/>
        <v>59.08755</v>
      </c>
    </row>
    <row r="25" s="2" customFormat="1" ht="18" customHeight="1" spans="1:16">
      <c r="A25" s="9" t="s">
        <v>85</v>
      </c>
      <c r="B25" s="14" t="s">
        <v>86</v>
      </c>
      <c r="C25" s="8" t="s">
        <v>47</v>
      </c>
      <c r="D25" s="8">
        <v>52.395</v>
      </c>
      <c r="E25" s="8">
        <f>0.1+7.96</f>
        <v>8.06</v>
      </c>
      <c r="F25" s="10"/>
      <c r="G25" s="10"/>
      <c r="H25" s="10"/>
      <c r="I25" s="10"/>
      <c r="J25" s="8">
        <f t="shared" si="0"/>
        <v>60.455</v>
      </c>
      <c r="K25" s="25"/>
      <c r="L25" s="25"/>
      <c r="M25" s="25"/>
      <c r="N25" s="25">
        <v>60.455</v>
      </c>
      <c r="O25" s="25"/>
      <c r="P25" s="25">
        <f t="shared" si="3"/>
        <v>60.455</v>
      </c>
    </row>
    <row r="26" s="2" customFormat="1" ht="18" customHeight="1" spans="1:16">
      <c r="A26" s="9" t="s">
        <v>87</v>
      </c>
      <c r="B26" s="14" t="s">
        <v>88</v>
      </c>
      <c r="C26" s="8" t="s">
        <v>47</v>
      </c>
      <c r="D26" s="8">
        <v>3.58</v>
      </c>
      <c r="E26" s="8">
        <f>11.24</f>
        <v>11.24</v>
      </c>
      <c r="F26" s="10"/>
      <c r="G26" s="10"/>
      <c r="H26" s="10"/>
      <c r="I26" s="10"/>
      <c r="J26" s="8">
        <f t="shared" si="0"/>
        <v>14.82</v>
      </c>
      <c r="K26" s="25"/>
      <c r="L26" s="25"/>
      <c r="M26" s="25"/>
      <c r="N26" s="25">
        <v>14.82</v>
      </c>
      <c r="O26" s="25"/>
      <c r="P26" s="25">
        <f t="shared" si="3"/>
        <v>14.82</v>
      </c>
    </row>
    <row r="27" s="2" customFormat="1" ht="18" customHeight="1" spans="1:16">
      <c r="A27" s="17" t="s">
        <v>89</v>
      </c>
      <c r="B27" s="14" t="s">
        <v>90</v>
      </c>
      <c r="C27" s="8" t="s">
        <v>47</v>
      </c>
      <c r="D27" s="8">
        <v>2.809</v>
      </c>
      <c r="E27" s="8"/>
      <c r="F27" s="10"/>
      <c r="G27" s="10"/>
      <c r="H27" s="10"/>
      <c r="I27" s="10"/>
      <c r="J27" s="8">
        <f t="shared" si="0"/>
        <v>2.809</v>
      </c>
      <c r="K27" s="25"/>
      <c r="L27" s="25"/>
      <c r="M27" s="25"/>
      <c r="N27" s="25">
        <v>2.809</v>
      </c>
      <c r="O27" s="25"/>
      <c r="P27" s="25">
        <f t="shared" si="3"/>
        <v>2.809</v>
      </c>
    </row>
    <row r="28" s="2" customFormat="1" ht="18" customHeight="1" spans="1:16">
      <c r="A28" s="9" t="s">
        <v>82</v>
      </c>
      <c r="B28" s="14" t="s">
        <v>91</v>
      </c>
      <c r="C28" s="8" t="s">
        <v>47</v>
      </c>
      <c r="D28" s="8">
        <v>157.82638</v>
      </c>
      <c r="E28" s="8">
        <f>0.4+0.1+13.48+0.665</f>
        <v>14.645</v>
      </c>
      <c r="F28" s="10"/>
      <c r="G28" s="10">
        <f>11.1+15.1+1.64+16</f>
        <v>43.84</v>
      </c>
      <c r="H28" s="10"/>
      <c r="I28" s="10"/>
      <c r="J28" s="8">
        <f t="shared" si="0"/>
        <v>128.63138</v>
      </c>
      <c r="K28" s="25"/>
      <c r="L28" s="25">
        <v>9.09</v>
      </c>
      <c r="M28" s="25"/>
      <c r="N28" s="25">
        <v>119.54138</v>
      </c>
      <c r="O28" s="25"/>
      <c r="P28" s="25">
        <f t="shared" si="3"/>
        <v>128.63138</v>
      </c>
    </row>
    <row r="29" s="2" customFormat="1" ht="18" customHeight="1" spans="1:16">
      <c r="A29" s="9" t="s">
        <v>92</v>
      </c>
      <c r="B29" s="14" t="s">
        <v>91</v>
      </c>
      <c r="C29" s="8" t="s">
        <v>29</v>
      </c>
      <c r="D29" s="8">
        <v>32.036</v>
      </c>
      <c r="E29" s="8">
        <f>0.44+0.19+0.503+0.6+6.42</f>
        <v>8.153</v>
      </c>
      <c r="F29" s="10">
        <f>0.896+0.44+18.12+0.015+10.118+0.015+0.075+0.04+0.07+6.42</f>
        <v>36.209</v>
      </c>
      <c r="G29" s="10"/>
      <c r="H29" s="10"/>
      <c r="I29" s="10"/>
      <c r="J29" s="8">
        <f t="shared" si="0"/>
        <v>3.98</v>
      </c>
      <c r="K29" s="25"/>
      <c r="L29" s="25">
        <v>3.98</v>
      </c>
      <c r="M29" s="25"/>
      <c r="N29" s="25"/>
      <c r="O29" s="25"/>
      <c r="P29" s="25">
        <f t="shared" si="3"/>
        <v>3.98</v>
      </c>
    </row>
    <row r="30" s="2" customFormat="1" ht="18" customHeight="1" spans="1:16">
      <c r="A30" s="9" t="s">
        <v>93</v>
      </c>
      <c r="B30" s="14" t="s">
        <v>91</v>
      </c>
      <c r="C30" s="8" t="s">
        <v>62</v>
      </c>
      <c r="D30" s="8">
        <v>0</v>
      </c>
      <c r="E30" s="8">
        <f>0.086</f>
        <v>0.086</v>
      </c>
      <c r="F30" s="10">
        <f>0.086</f>
        <v>0.086</v>
      </c>
      <c r="G30" s="10"/>
      <c r="H30" s="10"/>
      <c r="I30" s="10"/>
      <c r="J30" s="8">
        <f t="shared" si="0"/>
        <v>0</v>
      </c>
      <c r="K30" s="25"/>
      <c r="L30" s="25"/>
      <c r="M30" s="25"/>
      <c r="N30" s="25"/>
      <c r="O30" s="25"/>
      <c r="P30" s="25">
        <f t="shared" si="3"/>
        <v>0</v>
      </c>
    </row>
    <row r="31" s="2" customFormat="1" ht="18" customHeight="1" spans="1:16">
      <c r="A31" s="18" t="s">
        <v>94</v>
      </c>
      <c r="B31" s="8" t="s">
        <v>95</v>
      </c>
      <c r="C31" s="8" t="s">
        <v>47</v>
      </c>
      <c r="D31" s="8">
        <v>129.2945</v>
      </c>
      <c r="E31" s="8">
        <f>3.424+0.569+0.92+0.1335</f>
        <v>5.0465</v>
      </c>
      <c r="F31" s="10">
        <f>0.876</f>
        <v>0.876</v>
      </c>
      <c r="G31" s="10">
        <f>0.6245+4.774+3.424+5.012</f>
        <v>13.8345</v>
      </c>
      <c r="H31" s="10"/>
      <c r="I31" s="10"/>
      <c r="J31" s="8">
        <f t="shared" si="0"/>
        <v>119.6305</v>
      </c>
      <c r="K31" s="25"/>
      <c r="L31" s="25">
        <f>119.6305-20</f>
        <v>99.6305</v>
      </c>
      <c r="M31" s="25"/>
      <c r="N31" s="25"/>
      <c r="O31" s="25">
        <v>20</v>
      </c>
      <c r="P31" s="25">
        <f t="shared" si="3"/>
        <v>119.6305</v>
      </c>
    </row>
    <row r="32" s="2" customFormat="1" ht="18" customHeight="1" spans="1:16">
      <c r="A32" s="9" t="s">
        <v>96</v>
      </c>
      <c r="B32" s="19" t="s">
        <v>97</v>
      </c>
      <c r="C32" s="8" t="s">
        <v>47</v>
      </c>
      <c r="D32" s="8">
        <v>183.551</v>
      </c>
      <c r="E32" s="8">
        <f>16.2+0.015+0.34+7.34+1.6</f>
        <v>25.495</v>
      </c>
      <c r="F32" s="10">
        <f>0.34+0.015</f>
        <v>0.355</v>
      </c>
      <c r="G32" s="10">
        <f>13.2+14.8+6.54+17.82+5+1.88</f>
        <v>59.24</v>
      </c>
      <c r="H32" s="10"/>
      <c r="I32" s="10"/>
      <c r="J32" s="8">
        <f t="shared" si="0"/>
        <v>149.451</v>
      </c>
      <c r="K32" s="25"/>
      <c r="L32" s="25">
        <v>149.451</v>
      </c>
      <c r="M32" s="25"/>
      <c r="N32" s="25"/>
      <c r="O32" s="25"/>
      <c r="P32" s="25">
        <f t="shared" si="3"/>
        <v>149.451</v>
      </c>
    </row>
    <row r="33" s="2" customFormat="1" ht="18" customHeight="1" spans="1:16">
      <c r="A33" s="9" t="s">
        <v>98</v>
      </c>
      <c r="B33" s="8" t="s">
        <v>97</v>
      </c>
      <c r="C33" s="8" t="s">
        <v>29</v>
      </c>
      <c r="D33" s="8">
        <v>4.008</v>
      </c>
      <c r="E33" s="8">
        <f>1.612</f>
        <v>1.612</v>
      </c>
      <c r="F33" s="10">
        <f>4.008</f>
        <v>4.008</v>
      </c>
      <c r="G33" s="10"/>
      <c r="H33" s="10"/>
      <c r="I33" s="10"/>
      <c r="J33" s="8">
        <f t="shared" si="0"/>
        <v>1.612</v>
      </c>
      <c r="K33" s="25"/>
      <c r="L33" s="25">
        <v>1.612</v>
      </c>
      <c r="M33" s="25"/>
      <c r="N33" s="25"/>
      <c r="O33" s="25"/>
      <c r="P33" s="25">
        <f t="shared" si="3"/>
        <v>1.612</v>
      </c>
    </row>
    <row r="34" s="2" customFormat="1" ht="18" customHeight="1" spans="1:16">
      <c r="A34" s="9" t="s">
        <v>99</v>
      </c>
      <c r="B34" s="8" t="s">
        <v>100</v>
      </c>
      <c r="C34" s="8" t="s">
        <v>29</v>
      </c>
      <c r="D34" s="8">
        <v>20</v>
      </c>
      <c r="E34" s="8"/>
      <c r="F34" s="10">
        <f>10</f>
        <v>10</v>
      </c>
      <c r="G34" s="10"/>
      <c r="H34" s="10"/>
      <c r="I34" s="10"/>
      <c r="J34" s="8">
        <f t="shared" si="0"/>
        <v>10</v>
      </c>
      <c r="K34" s="25">
        <f>10-10</f>
        <v>0</v>
      </c>
      <c r="L34" s="25"/>
      <c r="M34" s="25"/>
      <c r="N34" s="25"/>
      <c r="O34" s="25">
        <v>10</v>
      </c>
      <c r="P34" s="25">
        <f t="shared" si="3"/>
        <v>10</v>
      </c>
    </row>
    <row r="35" s="2" customFormat="1" ht="18" customHeight="1" spans="1:16">
      <c r="A35" s="12" t="s">
        <v>101</v>
      </c>
      <c r="B35" s="8" t="s">
        <v>102</v>
      </c>
      <c r="C35" s="8" t="s">
        <v>47</v>
      </c>
      <c r="D35" s="8">
        <v>20.44</v>
      </c>
      <c r="E35" s="8">
        <f>16.46</f>
        <v>16.46</v>
      </c>
      <c r="F35" s="10"/>
      <c r="G35" s="10"/>
      <c r="H35" s="10"/>
      <c r="I35" s="10"/>
      <c r="J35" s="8">
        <f t="shared" si="0"/>
        <v>36.9</v>
      </c>
      <c r="K35" s="25"/>
      <c r="L35" s="25">
        <v>36.9</v>
      </c>
      <c r="M35" s="25"/>
      <c r="N35" s="25"/>
      <c r="O35" s="25"/>
      <c r="P35" s="25">
        <f t="shared" si="3"/>
        <v>36.9</v>
      </c>
    </row>
    <row r="36" s="2" customFormat="1" ht="18" customHeight="1" spans="1:16">
      <c r="A36" s="9" t="s">
        <v>103</v>
      </c>
      <c r="B36" s="14" t="s">
        <v>104</v>
      </c>
      <c r="C36" s="8" t="s">
        <v>29</v>
      </c>
      <c r="D36" s="8">
        <v>2.29</v>
      </c>
      <c r="E36" s="8"/>
      <c r="F36" s="10"/>
      <c r="G36" s="10"/>
      <c r="H36" s="10"/>
      <c r="I36" s="10"/>
      <c r="J36" s="8">
        <f t="shared" si="0"/>
        <v>2.29</v>
      </c>
      <c r="K36" s="25"/>
      <c r="L36" s="25">
        <v>2.29</v>
      </c>
      <c r="M36" s="25"/>
      <c r="N36" s="25"/>
      <c r="O36" s="25"/>
      <c r="P36" s="25">
        <f t="shared" si="3"/>
        <v>2.29</v>
      </c>
    </row>
    <row r="37" s="2" customFormat="1" ht="18" customHeight="1" spans="1:16">
      <c r="A37" s="9" t="s">
        <v>105</v>
      </c>
      <c r="B37" s="14" t="s">
        <v>104</v>
      </c>
      <c r="C37" s="8" t="s">
        <v>47</v>
      </c>
      <c r="D37" s="8">
        <v>10.055</v>
      </c>
      <c r="E37" s="8">
        <f>6.1025+19.96</f>
        <v>26.0625</v>
      </c>
      <c r="F37" s="10">
        <f>4.482</f>
        <v>4.482</v>
      </c>
      <c r="G37" s="10"/>
      <c r="H37" s="10"/>
      <c r="I37" s="10"/>
      <c r="J37" s="8">
        <f t="shared" si="0"/>
        <v>31.6355</v>
      </c>
      <c r="K37" s="25">
        <v>11.6755</v>
      </c>
      <c r="L37" s="25">
        <v>19.96</v>
      </c>
      <c r="M37" s="25"/>
      <c r="N37" s="25"/>
      <c r="O37" s="25"/>
      <c r="P37" s="25">
        <f t="shared" si="3"/>
        <v>31.6355</v>
      </c>
    </row>
    <row r="38" s="2" customFormat="1" ht="18" customHeight="1" spans="1:16">
      <c r="A38" s="9" t="s">
        <v>106</v>
      </c>
      <c r="B38" s="14" t="s">
        <v>104</v>
      </c>
      <c r="C38" s="8" t="s">
        <v>62</v>
      </c>
      <c r="D38" s="8">
        <v>348.832</v>
      </c>
      <c r="E38" s="8">
        <f>28.98+29.16+30.92</f>
        <v>89.06</v>
      </c>
      <c r="F38" s="10">
        <f>5+10+10+20.9</f>
        <v>45.9</v>
      </c>
      <c r="G38" s="10"/>
      <c r="H38" s="10"/>
      <c r="I38" s="10"/>
      <c r="J38" s="8">
        <f t="shared" si="0"/>
        <v>391.992</v>
      </c>
      <c r="K38" s="25">
        <f>391.992-30</f>
        <v>361.992</v>
      </c>
      <c r="L38" s="25"/>
      <c r="M38" s="25"/>
      <c r="N38" s="25"/>
      <c r="O38" s="25">
        <v>30</v>
      </c>
      <c r="P38" s="25">
        <f t="shared" si="3"/>
        <v>391.992</v>
      </c>
    </row>
    <row r="39" s="2" customFormat="1" ht="18" customHeight="1" spans="1:16">
      <c r="A39" s="11" t="s">
        <v>105</v>
      </c>
      <c r="B39" s="14" t="s">
        <v>107</v>
      </c>
      <c r="C39" s="8" t="s">
        <v>47</v>
      </c>
      <c r="D39" s="8">
        <v>52.02</v>
      </c>
      <c r="E39" s="8">
        <f>93.4+19.34</f>
        <v>112.74</v>
      </c>
      <c r="F39" s="10"/>
      <c r="G39" s="10">
        <f>6.7+16.8+22.2+22.67</f>
        <v>68.37</v>
      </c>
      <c r="H39" s="10"/>
      <c r="I39" s="10"/>
      <c r="J39" s="8">
        <f t="shared" si="0"/>
        <v>96.39</v>
      </c>
      <c r="K39" s="25"/>
      <c r="L39" s="25">
        <f>96.39</f>
        <v>96.39</v>
      </c>
      <c r="M39" s="25"/>
      <c r="N39" s="25"/>
      <c r="O39" s="25"/>
      <c r="P39" s="25">
        <f t="shared" si="3"/>
        <v>96.39</v>
      </c>
    </row>
    <row r="40" s="2" customFormat="1" ht="18" customHeight="1" spans="1:16">
      <c r="A40" s="9" t="s">
        <v>59</v>
      </c>
      <c r="B40" s="14" t="s">
        <v>108</v>
      </c>
      <c r="C40" s="8" t="s">
        <v>29</v>
      </c>
      <c r="D40" s="8">
        <v>0</v>
      </c>
      <c r="E40" s="8">
        <f>19.835</f>
        <v>19.835</v>
      </c>
      <c r="F40" s="10"/>
      <c r="G40" s="10"/>
      <c r="H40" s="10"/>
      <c r="I40" s="10"/>
      <c r="J40" s="8">
        <f t="shared" si="0"/>
        <v>19.835</v>
      </c>
      <c r="K40" s="25">
        <v>19.835</v>
      </c>
      <c r="L40" s="25"/>
      <c r="M40" s="25"/>
      <c r="N40" s="25"/>
      <c r="O40" s="25"/>
      <c r="P40" s="25">
        <f t="shared" si="3"/>
        <v>19.835</v>
      </c>
    </row>
    <row r="41" s="2" customFormat="1" ht="18" customHeight="1" spans="1:16">
      <c r="A41" s="9" t="s">
        <v>59</v>
      </c>
      <c r="B41" s="14" t="s">
        <v>108</v>
      </c>
      <c r="C41" s="8" t="s">
        <v>62</v>
      </c>
      <c r="D41" s="8">
        <v>0.76</v>
      </c>
      <c r="E41" s="8">
        <f>0.334</f>
        <v>0.334</v>
      </c>
      <c r="F41" s="10">
        <f>0.76+0.334</f>
        <v>1.094</v>
      </c>
      <c r="G41" s="10"/>
      <c r="H41" s="10"/>
      <c r="I41" s="10"/>
      <c r="J41" s="8">
        <f t="shared" si="0"/>
        <v>0</v>
      </c>
      <c r="K41" s="25"/>
      <c r="L41" s="25"/>
      <c r="M41" s="25"/>
      <c r="N41" s="25"/>
      <c r="O41" s="25"/>
      <c r="P41" s="25">
        <f t="shared" si="3"/>
        <v>0</v>
      </c>
    </row>
    <row r="42" s="2" customFormat="1" ht="18" customHeight="1" spans="1:16">
      <c r="A42" s="9" t="s">
        <v>109</v>
      </c>
      <c r="B42" s="14" t="s">
        <v>110</v>
      </c>
      <c r="C42" s="8" t="s">
        <v>47</v>
      </c>
      <c r="D42" s="8">
        <v>57.9</v>
      </c>
      <c r="E42" s="8"/>
      <c r="F42" s="10"/>
      <c r="G42" s="10"/>
      <c r="H42" s="10"/>
      <c r="I42" s="10"/>
      <c r="J42" s="8">
        <f t="shared" si="0"/>
        <v>57.9</v>
      </c>
      <c r="K42" s="25">
        <v>57.9</v>
      </c>
      <c r="L42" s="25"/>
      <c r="M42" s="25"/>
      <c r="N42" s="25"/>
      <c r="O42" s="25"/>
      <c r="P42" s="25">
        <f t="shared" si="3"/>
        <v>57.9</v>
      </c>
    </row>
    <row r="43" s="2" customFormat="1" ht="18" customHeight="1" spans="1:16">
      <c r="A43" s="20" t="s">
        <v>111</v>
      </c>
      <c r="B43" s="14" t="s">
        <v>110</v>
      </c>
      <c r="C43" s="8" t="s">
        <v>29</v>
      </c>
      <c r="D43" s="8">
        <v>138.281</v>
      </c>
      <c r="E43" s="8">
        <f>72.127+7.44+30.2765+39.6+7.84+3.5075+14.02+25.806+58.192+11.5705+8.75</f>
        <v>279.1295</v>
      </c>
      <c r="F43" s="8">
        <f>12.2285+31.576+27.6435+29.9545+24.65+18.905+21.845+13.11+15.5425+31.078-10.27</f>
        <v>216.263</v>
      </c>
      <c r="G43" s="8"/>
      <c r="H43" s="8"/>
      <c r="I43" s="8"/>
      <c r="J43" s="8">
        <f t="shared" si="0"/>
        <v>201.1475</v>
      </c>
      <c r="K43" s="25">
        <f>201.1475-60</f>
        <v>141.1475</v>
      </c>
      <c r="L43" s="25"/>
      <c r="M43" s="25"/>
      <c r="N43" s="25"/>
      <c r="O43" s="25">
        <v>60</v>
      </c>
      <c r="P43" s="25">
        <f t="shared" si="3"/>
        <v>201.1475</v>
      </c>
    </row>
    <row r="44" s="2" customFormat="1" ht="18" customHeight="1" spans="1:16">
      <c r="A44" s="20" t="s">
        <v>59</v>
      </c>
      <c r="B44" s="14" t="s">
        <v>110</v>
      </c>
      <c r="C44" s="8" t="s">
        <v>62</v>
      </c>
      <c r="D44" s="8">
        <v>10.27</v>
      </c>
      <c r="E44" s="8"/>
      <c r="F44" s="8">
        <v>10.27</v>
      </c>
      <c r="G44" s="8"/>
      <c r="H44" s="8"/>
      <c r="I44" s="8"/>
      <c r="J44" s="8">
        <f t="shared" si="0"/>
        <v>0</v>
      </c>
      <c r="K44" s="25"/>
      <c r="L44" s="25"/>
      <c r="M44" s="25"/>
      <c r="N44" s="25"/>
      <c r="O44" s="25"/>
      <c r="P44" s="25">
        <f t="shared" si="3"/>
        <v>0</v>
      </c>
    </row>
    <row r="45" s="2" customFormat="1" ht="18" customHeight="1" spans="1:16">
      <c r="A45" s="11" t="s">
        <v>112</v>
      </c>
      <c r="B45" s="8" t="s">
        <v>113</v>
      </c>
      <c r="C45" s="8" t="s">
        <v>62</v>
      </c>
      <c r="D45" s="21">
        <v>0</v>
      </c>
      <c r="E45" s="8">
        <f>0.01+0.5</f>
        <v>0.51</v>
      </c>
      <c r="F45" s="10">
        <f>0.01+0.5</f>
        <v>0.51</v>
      </c>
      <c r="G45" s="10"/>
      <c r="H45" s="10"/>
      <c r="I45" s="10"/>
      <c r="J45" s="8">
        <f t="shared" si="0"/>
        <v>0</v>
      </c>
      <c r="K45" s="25"/>
      <c r="L45" s="25"/>
      <c r="M45" s="25"/>
      <c r="N45" s="25"/>
      <c r="O45" s="25"/>
      <c r="P45" s="25">
        <f t="shared" si="3"/>
        <v>0</v>
      </c>
    </row>
    <row r="46" s="2" customFormat="1" ht="18" customHeight="1" spans="1:16">
      <c r="A46" s="13" t="s">
        <v>114</v>
      </c>
      <c r="B46" s="8" t="s">
        <v>113</v>
      </c>
      <c r="C46" s="8" t="s">
        <v>29</v>
      </c>
      <c r="D46" s="14">
        <v>0.02</v>
      </c>
      <c r="E46" s="22">
        <f>0.041+0.93</f>
        <v>0.971</v>
      </c>
      <c r="F46" s="10">
        <f>0.02+0.041+0.93</f>
        <v>0.991</v>
      </c>
      <c r="G46" s="10"/>
      <c r="H46" s="10"/>
      <c r="I46" s="10"/>
      <c r="J46" s="8">
        <f t="shared" si="0"/>
        <v>0</v>
      </c>
      <c r="K46" s="25"/>
      <c r="L46" s="25"/>
      <c r="M46" s="25"/>
      <c r="N46" s="25"/>
      <c r="O46" s="25"/>
      <c r="P46" s="25">
        <f t="shared" si="3"/>
        <v>0</v>
      </c>
    </row>
    <row r="47" s="2" customFormat="1" ht="18" customHeight="1" spans="1:16">
      <c r="A47" s="11" t="s">
        <v>115</v>
      </c>
      <c r="B47" s="8" t="s">
        <v>113</v>
      </c>
      <c r="C47" s="8" t="s">
        <v>47</v>
      </c>
      <c r="D47" s="8">
        <v>2.4</v>
      </c>
      <c r="E47" s="8"/>
      <c r="F47" s="8"/>
      <c r="G47" s="10"/>
      <c r="H47" s="10"/>
      <c r="I47" s="10"/>
      <c r="J47" s="8">
        <f t="shared" si="0"/>
        <v>2.4</v>
      </c>
      <c r="K47" s="25">
        <v>2.4</v>
      </c>
      <c r="L47" s="25"/>
      <c r="M47" s="25"/>
      <c r="N47" s="25"/>
      <c r="O47" s="25"/>
      <c r="P47" s="25">
        <f t="shared" si="3"/>
        <v>2.4</v>
      </c>
    </row>
    <row r="48" s="2" customFormat="1" ht="18" customHeight="1" spans="1:16">
      <c r="A48" s="15" t="s">
        <v>116</v>
      </c>
      <c r="B48" s="8" t="s">
        <v>117</v>
      </c>
      <c r="C48" s="8" t="s">
        <v>62</v>
      </c>
      <c r="D48" s="8">
        <v>0.75</v>
      </c>
      <c r="E48" s="8">
        <f>0.05</f>
        <v>0.05</v>
      </c>
      <c r="F48" s="10">
        <f>0.75+0.05</f>
        <v>0.8</v>
      </c>
      <c r="G48" s="23"/>
      <c r="H48" s="23"/>
      <c r="I48" s="23"/>
      <c r="J48" s="8">
        <f t="shared" si="0"/>
        <v>0</v>
      </c>
      <c r="K48" s="25"/>
      <c r="L48" s="25"/>
      <c r="M48" s="25"/>
      <c r="N48" s="25"/>
      <c r="O48" s="25"/>
      <c r="P48" s="25">
        <f t="shared" si="3"/>
        <v>0</v>
      </c>
    </row>
    <row r="49" s="2" customFormat="1" ht="18" customHeight="1" spans="1:16">
      <c r="A49" s="15" t="s">
        <v>116</v>
      </c>
      <c r="B49" s="8" t="s">
        <v>117</v>
      </c>
      <c r="C49" s="8" t="s">
        <v>29</v>
      </c>
      <c r="D49" s="8">
        <v>15.0605</v>
      </c>
      <c r="E49" s="8">
        <f>16.84+13.22+12.11+9.1</f>
        <v>51.27</v>
      </c>
      <c r="F49" s="10">
        <f>7.64+16.84+4.9605+13.22</f>
        <v>42.6605</v>
      </c>
      <c r="G49" s="10"/>
      <c r="H49" s="10"/>
      <c r="I49" s="10"/>
      <c r="J49" s="8">
        <f t="shared" si="0"/>
        <v>23.67</v>
      </c>
      <c r="K49" s="25">
        <v>23.67</v>
      </c>
      <c r="L49" s="25"/>
      <c r="M49" s="25"/>
      <c r="N49" s="25"/>
      <c r="O49" s="25"/>
      <c r="P49" s="25">
        <f t="shared" si="3"/>
        <v>23.67</v>
      </c>
    </row>
    <row r="50" s="2" customFormat="1" ht="18" customHeight="1" spans="1:16">
      <c r="A50" s="9" t="s">
        <v>118</v>
      </c>
      <c r="B50" s="4" t="s">
        <v>119</v>
      </c>
      <c r="C50" s="8" t="s">
        <v>29</v>
      </c>
      <c r="D50" s="8">
        <v>0</v>
      </c>
      <c r="E50" s="8">
        <f>2.613</f>
        <v>2.613</v>
      </c>
      <c r="F50" s="10">
        <f>2.613</f>
        <v>2.613</v>
      </c>
      <c r="G50" s="10"/>
      <c r="H50" s="10"/>
      <c r="I50" s="10"/>
      <c r="J50" s="8">
        <f t="shared" si="0"/>
        <v>0</v>
      </c>
      <c r="K50" s="25"/>
      <c r="L50" s="25"/>
      <c r="M50" s="25"/>
      <c r="N50" s="25"/>
      <c r="O50" s="25"/>
      <c r="P50" s="25">
        <f t="shared" si="3"/>
        <v>0</v>
      </c>
    </row>
    <row r="51" s="2" customFormat="1" ht="18" customHeight="1" spans="1:16">
      <c r="A51" s="9" t="s">
        <v>120</v>
      </c>
      <c r="B51" s="4" t="s">
        <v>121</v>
      </c>
      <c r="C51" s="8" t="s">
        <v>62</v>
      </c>
      <c r="D51" s="8">
        <v>5.76</v>
      </c>
      <c r="E51" s="8">
        <f>5.336</f>
        <v>5.336</v>
      </c>
      <c r="F51" s="10"/>
      <c r="G51" s="10"/>
      <c r="H51" s="10"/>
      <c r="I51" s="10"/>
      <c r="J51" s="8">
        <f t="shared" si="0"/>
        <v>11.096</v>
      </c>
      <c r="K51" s="25">
        <v>11.096</v>
      </c>
      <c r="L51" s="25"/>
      <c r="M51" s="25"/>
      <c r="N51" s="25"/>
      <c r="O51" s="25"/>
      <c r="P51" s="25">
        <f t="shared" si="3"/>
        <v>11.096</v>
      </c>
    </row>
    <row r="52" s="2" customFormat="1" ht="18" customHeight="1" spans="1:16">
      <c r="A52" s="12" t="s">
        <v>122</v>
      </c>
      <c r="B52" s="4" t="s">
        <v>123</v>
      </c>
      <c r="C52" s="8" t="s">
        <v>47</v>
      </c>
      <c r="D52" s="8">
        <v>0</v>
      </c>
      <c r="E52" s="8">
        <f>14+17.52</f>
        <v>31.52</v>
      </c>
      <c r="F52" s="10"/>
      <c r="G52" s="10"/>
      <c r="H52" s="10"/>
      <c r="I52" s="10"/>
      <c r="J52" s="8">
        <f t="shared" si="0"/>
        <v>31.52</v>
      </c>
      <c r="K52" s="25">
        <v>31.52</v>
      </c>
      <c r="L52" s="25"/>
      <c r="M52" s="25"/>
      <c r="N52" s="25"/>
      <c r="O52" s="25"/>
      <c r="P52" s="25">
        <f t="shared" si="3"/>
        <v>31.52</v>
      </c>
    </row>
    <row r="53" s="2" customFormat="1" ht="18" customHeight="1" spans="1:16">
      <c r="A53" s="9" t="s">
        <v>124</v>
      </c>
      <c r="B53" s="4" t="s">
        <v>125</v>
      </c>
      <c r="C53" s="8" t="s">
        <v>47</v>
      </c>
      <c r="D53" s="8">
        <v>0</v>
      </c>
      <c r="E53" s="8">
        <f>10.16</f>
        <v>10.16</v>
      </c>
      <c r="F53" s="10"/>
      <c r="G53" s="10"/>
      <c r="H53" s="10"/>
      <c r="I53" s="10"/>
      <c r="J53" s="8">
        <f t="shared" si="0"/>
        <v>10.16</v>
      </c>
      <c r="K53" s="25"/>
      <c r="L53" s="25">
        <v>10.16</v>
      </c>
      <c r="M53" s="25"/>
      <c r="N53" s="25"/>
      <c r="O53" s="25"/>
      <c r="P53" s="25">
        <f t="shared" si="3"/>
        <v>10.16</v>
      </c>
    </row>
    <row r="54" s="2" customFormat="1" ht="18" customHeight="1" spans="1:16">
      <c r="A54" s="9" t="s">
        <v>126</v>
      </c>
      <c r="B54" s="8" t="s">
        <v>127</v>
      </c>
      <c r="C54" s="8" t="s">
        <v>29</v>
      </c>
      <c r="D54" s="8">
        <v>0</v>
      </c>
      <c r="E54" s="8">
        <f>11.1+4.76</f>
        <v>15.86</v>
      </c>
      <c r="F54" s="10">
        <f>11.1+2</f>
        <v>13.1</v>
      </c>
      <c r="G54" s="10"/>
      <c r="H54" s="10"/>
      <c r="I54" s="10"/>
      <c r="J54" s="8">
        <f t="shared" si="0"/>
        <v>2.76</v>
      </c>
      <c r="K54" s="25"/>
      <c r="L54" s="25">
        <v>2.76</v>
      </c>
      <c r="M54" s="25"/>
      <c r="N54" s="25"/>
      <c r="O54" s="25"/>
      <c r="P54" s="25">
        <f t="shared" si="3"/>
        <v>2.76</v>
      </c>
    </row>
    <row r="55" s="2" customFormat="1" ht="18" customHeight="1" spans="1:16">
      <c r="A55" s="11" t="s">
        <v>128</v>
      </c>
      <c r="B55" s="8" t="s">
        <v>127</v>
      </c>
      <c r="C55" s="8" t="s">
        <v>62</v>
      </c>
      <c r="D55" s="8">
        <v>0</v>
      </c>
      <c r="E55" s="8">
        <f>0.5</f>
        <v>0.5</v>
      </c>
      <c r="F55" s="10"/>
      <c r="G55" s="10"/>
      <c r="H55" s="10"/>
      <c r="I55" s="10"/>
      <c r="J55" s="8">
        <f t="shared" si="0"/>
        <v>0.5</v>
      </c>
      <c r="K55" s="25"/>
      <c r="L55" s="25">
        <v>0.5</v>
      </c>
      <c r="M55" s="25"/>
      <c r="N55" s="25"/>
      <c r="O55" s="25"/>
      <c r="P55" s="25">
        <f t="shared" si="3"/>
        <v>0.5</v>
      </c>
    </row>
    <row r="56" s="2" customFormat="1" ht="18" customHeight="1" spans="1:16">
      <c r="A56" s="11" t="s">
        <v>128</v>
      </c>
      <c r="B56" s="8" t="s">
        <v>127</v>
      </c>
      <c r="C56" s="8" t="s">
        <v>47</v>
      </c>
      <c r="D56" s="8">
        <v>20.34</v>
      </c>
      <c r="E56" s="8">
        <f>2.65</f>
        <v>2.65</v>
      </c>
      <c r="F56" s="8">
        <f>2.65</f>
        <v>2.65</v>
      </c>
      <c r="G56" s="8">
        <f>18.84+1.5</f>
        <v>20.34</v>
      </c>
      <c r="H56" s="8"/>
      <c r="I56" s="8"/>
      <c r="J56" s="8">
        <f t="shared" si="0"/>
        <v>0</v>
      </c>
      <c r="K56" s="25"/>
      <c r="L56" s="25"/>
      <c r="M56" s="25"/>
      <c r="N56" s="25"/>
      <c r="O56" s="25"/>
      <c r="P56" s="25">
        <f t="shared" si="3"/>
        <v>0</v>
      </c>
    </row>
    <row r="57" s="2" customFormat="1" ht="18" customHeight="1" spans="1:16">
      <c r="A57" s="13" t="s">
        <v>129</v>
      </c>
      <c r="B57" s="7" t="s">
        <v>130</v>
      </c>
      <c r="C57" s="8" t="s">
        <v>47</v>
      </c>
      <c r="D57" s="8">
        <v>25.58</v>
      </c>
      <c r="E57" s="8"/>
      <c r="F57" s="10"/>
      <c r="G57" s="10"/>
      <c r="H57" s="10"/>
      <c r="I57" s="10"/>
      <c r="J57" s="8">
        <f t="shared" si="0"/>
        <v>25.58</v>
      </c>
      <c r="K57" s="25"/>
      <c r="L57" s="25">
        <v>25.58</v>
      </c>
      <c r="M57" s="25"/>
      <c r="N57" s="25"/>
      <c r="O57" s="25"/>
      <c r="P57" s="25">
        <f t="shared" si="3"/>
        <v>25.58</v>
      </c>
    </row>
    <row r="58" s="2" customFormat="1" ht="18" customHeight="1" spans="1:16">
      <c r="A58" s="13" t="s">
        <v>129</v>
      </c>
      <c r="B58" s="7" t="s">
        <v>130</v>
      </c>
      <c r="C58" s="8" t="s">
        <v>29</v>
      </c>
      <c r="D58" s="8">
        <v>0</v>
      </c>
      <c r="E58" s="8">
        <f>16.1</f>
        <v>16.1</v>
      </c>
      <c r="F58" s="10"/>
      <c r="G58" s="10"/>
      <c r="H58" s="10"/>
      <c r="I58" s="10"/>
      <c r="J58" s="8">
        <f t="shared" si="0"/>
        <v>16.1</v>
      </c>
      <c r="K58" s="25"/>
      <c r="L58" s="25">
        <v>16.1</v>
      </c>
      <c r="M58" s="25"/>
      <c r="N58" s="25"/>
      <c r="O58" s="25"/>
      <c r="P58" s="25">
        <f t="shared" si="3"/>
        <v>16.1</v>
      </c>
    </row>
    <row r="59" s="2" customFormat="1" ht="18" customHeight="1" spans="1:16">
      <c r="A59" s="13" t="s">
        <v>131</v>
      </c>
      <c r="B59" s="8" t="s">
        <v>132</v>
      </c>
      <c r="C59" s="8" t="s">
        <v>47</v>
      </c>
      <c r="D59" s="8">
        <v>10.65</v>
      </c>
      <c r="E59" s="8">
        <f>12.92</f>
        <v>12.92</v>
      </c>
      <c r="F59" s="10"/>
      <c r="G59" s="10">
        <f>10.65</f>
        <v>10.65</v>
      </c>
      <c r="H59" s="10"/>
      <c r="I59" s="10"/>
      <c r="J59" s="8">
        <f t="shared" si="0"/>
        <v>12.92</v>
      </c>
      <c r="K59" s="25"/>
      <c r="L59" s="25">
        <v>12.92</v>
      </c>
      <c r="M59" s="25"/>
      <c r="N59" s="25"/>
      <c r="O59" s="25"/>
      <c r="P59" s="25">
        <f t="shared" si="3"/>
        <v>12.92</v>
      </c>
    </row>
    <row r="60" s="2" customFormat="1" ht="18" customHeight="1" spans="1:16">
      <c r="A60" s="13" t="s">
        <v>133</v>
      </c>
      <c r="B60" s="8" t="s">
        <v>132</v>
      </c>
      <c r="C60" s="8" t="s">
        <v>62</v>
      </c>
      <c r="D60" s="8">
        <v>16.84</v>
      </c>
      <c r="E60" s="8"/>
      <c r="F60" s="10"/>
      <c r="G60" s="10"/>
      <c r="H60" s="10"/>
      <c r="I60" s="10"/>
      <c r="J60" s="8">
        <f t="shared" si="0"/>
        <v>16.84</v>
      </c>
      <c r="K60" s="25"/>
      <c r="L60" s="25">
        <v>16.84</v>
      </c>
      <c r="M60" s="25"/>
      <c r="N60" s="25"/>
      <c r="O60" s="25"/>
      <c r="P60" s="25">
        <f t="shared" si="3"/>
        <v>16.84</v>
      </c>
    </row>
    <row r="61" s="2" customFormat="1" ht="18" customHeight="1" spans="1:16">
      <c r="A61" s="9" t="s">
        <v>131</v>
      </c>
      <c r="B61" s="8" t="s">
        <v>134</v>
      </c>
      <c r="C61" s="8" t="s">
        <v>47</v>
      </c>
      <c r="D61" s="8">
        <v>7.24</v>
      </c>
      <c r="E61" s="8"/>
      <c r="F61" s="10">
        <f>3+4.24</f>
        <v>7.24</v>
      </c>
      <c r="G61" s="10"/>
      <c r="H61" s="10"/>
      <c r="I61" s="10"/>
      <c r="J61" s="8">
        <f t="shared" si="0"/>
        <v>0</v>
      </c>
      <c r="K61" s="25"/>
      <c r="L61" s="25"/>
      <c r="M61" s="25"/>
      <c r="N61" s="25"/>
      <c r="O61" s="25"/>
      <c r="P61" s="25">
        <f t="shared" si="3"/>
        <v>0</v>
      </c>
    </row>
    <row r="62" s="2" customFormat="1" ht="18" customHeight="1" spans="1:16">
      <c r="A62" s="24" t="s">
        <v>135</v>
      </c>
      <c r="B62" s="8" t="s">
        <v>136</v>
      </c>
      <c r="C62" s="8" t="s">
        <v>47</v>
      </c>
      <c r="D62" s="8">
        <v>268.16</v>
      </c>
      <c r="E62" s="8"/>
      <c r="F62" s="10"/>
      <c r="G62" s="10">
        <f>26.18</f>
        <v>26.18</v>
      </c>
      <c r="H62" s="10"/>
      <c r="I62" s="10"/>
      <c r="J62" s="8">
        <f t="shared" si="0"/>
        <v>241.98</v>
      </c>
      <c r="K62" s="25"/>
      <c r="L62" s="25"/>
      <c r="M62" s="25"/>
      <c r="N62" s="25">
        <v>241.98</v>
      </c>
      <c r="O62" s="25"/>
      <c r="P62" s="25">
        <f t="shared" si="3"/>
        <v>241.98</v>
      </c>
    </row>
    <row r="63" s="2" customFormat="1" ht="18" customHeight="1" spans="1:16">
      <c r="A63" s="11" t="s">
        <v>137</v>
      </c>
      <c r="B63" s="14" t="s">
        <v>138</v>
      </c>
      <c r="C63" s="8" t="s">
        <v>29</v>
      </c>
      <c r="D63" s="8">
        <v>306.5112</v>
      </c>
      <c r="E63" s="8">
        <f>17.815+8.0015+6.327+6.256+11.7725+28.5557+47.691+22.7055+11.459+27.032+19.7075+25.911+0.94+6.2815</f>
        <v>240.4552</v>
      </c>
      <c r="F63" s="10">
        <f>42.5105+52.0755+13.43+23.0357+0.175+14.791+16.326+12.0555+41.9542+32.347+19.24</f>
        <v>267.9404</v>
      </c>
      <c r="G63" s="10"/>
      <c r="H63" s="10">
        <f>1.814+9.855+5.02+4.16</f>
        <v>20.849</v>
      </c>
      <c r="I63" s="10"/>
      <c r="J63" s="8">
        <f t="shared" si="0"/>
        <v>258.177</v>
      </c>
      <c r="K63" s="25">
        <f>253.351-100</f>
        <v>153.351</v>
      </c>
      <c r="L63" s="25">
        <v>4.826</v>
      </c>
      <c r="M63" s="25"/>
      <c r="N63" s="25"/>
      <c r="O63" s="25">
        <v>100</v>
      </c>
      <c r="P63" s="25">
        <f t="shared" si="3"/>
        <v>258.177</v>
      </c>
    </row>
    <row r="64" s="2" customFormat="1" ht="18" customHeight="1" spans="1:16">
      <c r="A64" s="9" t="s">
        <v>139</v>
      </c>
      <c r="B64" s="14" t="s">
        <v>140</v>
      </c>
      <c r="C64" s="8" t="s">
        <v>29</v>
      </c>
      <c r="D64" s="8">
        <v>0</v>
      </c>
      <c r="E64" s="8">
        <f>0.239+0.214+0.157+0.26+0.152+0.237</f>
        <v>1.259</v>
      </c>
      <c r="F64" s="10">
        <f>0.239+0.214+0.157+0.26+0.152</f>
        <v>1.022</v>
      </c>
      <c r="G64" s="10"/>
      <c r="H64" s="10"/>
      <c r="I64" s="10"/>
      <c r="J64" s="8">
        <f t="shared" si="0"/>
        <v>0.237</v>
      </c>
      <c r="K64" s="25">
        <v>0.237</v>
      </c>
      <c r="L64" s="25"/>
      <c r="M64" s="25"/>
      <c r="N64" s="25"/>
      <c r="O64" s="25"/>
      <c r="P64" s="25">
        <f t="shared" si="3"/>
        <v>0.237</v>
      </c>
    </row>
    <row r="65" s="2" customFormat="1" ht="18" customHeight="1" spans="1:16">
      <c r="A65" s="11" t="s">
        <v>129</v>
      </c>
      <c r="B65" s="14" t="s">
        <v>141</v>
      </c>
      <c r="C65" s="8" t="s">
        <v>29</v>
      </c>
      <c r="D65" s="8">
        <v>0</v>
      </c>
      <c r="E65" s="8">
        <f>14.34+10.459+0.17</f>
        <v>24.969</v>
      </c>
      <c r="F65" s="10">
        <f>14.34+10.459+0.17</f>
        <v>24.969</v>
      </c>
      <c r="G65" s="10"/>
      <c r="H65" s="10"/>
      <c r="I65" s="10"/>
      <c r="J65" s="8">
        <f t="shared" si="0"/>
        <v>0</v>
      </c>
      <c r="K65" s="25"/>
      <c r="L65" s="25"/>
      <c r="M65" s="25"/>
      <c r="N65" s="25"/>
      <c r="O65" s="25"/>
      <c r="P65" s="25">
        <f t="shared" si="3"/>
        <v>0</v>
      </c>
    </row>
    <row r="66" s="2" customFormat="1" ht="18" customHeight="1" spans="1:16">
      <c r="A66" s="11" t="s">
        <v>142</v>
      </c>
      <c r="B66" s="8" t="s">
        <v>143</v>
      </c>
      <c r="C66" s="8" t="s">
        <v>29</v>
      </c>
      <c r="D66" s="8">
        <v>5.34</v>
      </c>
      <c r="E66" s="8">
        <f>1.42+19.423+0.944+1.7695+2.157+0.12+1.16+2.13+2.0185</f>
        <v>31.142</v>
      </c>
      <c r="F66" s="8">
        <f>5.34+1.42+13.815+0.105+6.327+2.12+0.16+1.7695</f>
        <v>31.0565</v>
      </c>
      <c r="G66" s="8"/>
      <c r="H66" s="8"/>
      <c r="I66" s="8"/>
      <c r="J66" s="8">
        <f t="shared" si="0"/>
        <v>5.4255</v>
      </c>
      <c r="K66" s="25"/>
      <c r="L66" s="25"/>
      <c r="M66" s="25"/>
      <c r="N66" s="25"/>
      <c r="O66" s="25">
        <v>5.4255</v>
      </c>
      <c r="P66" s="25">
        <f t="shared" si="3"/>
        <v>5.4255</v>
      </c>
    </row>
    <row r="67" s="2" customFormat="1" ht="18" customHeight="1" spans="1:16">
      <c r="A67" s="9" t="s">
        <v>144</v>
      </c>
      <c r="B67" s="8" t="s">
        <v>145</v>
      </c>
      <c r="C67" s="8" t="s">
        <v>29</v>
      </c>
      <c r="D67" s="8">
        <v>0</v>
      </c>
      <c r="E67" s="8">
        <f>0.918</f>
        <v>0.918</v>
      </c>
      <c r="F67" s="8">
        <f>0.918</f>
        <v>0.918</v>
      </c>
      <c r="G67" s="8"/>
      <c r="H67" s="8"/>
      <c r="I67" s="8"/>
      <c r="J67" s="8">
        <f t="shared" si="0"/>
        <v>0</v>
      </c>
      <c r="K67" s="25"/>
      <c r="L67" s="25"/>
      <c r="M67" s="25"/>
      <c r="N67" s="25"/>
      <c r="O67" s="25"/>
      <c r="P67" s="25">
        <f t="shared" si="3"/>
        <v>0</v>
      </c>
    </row>
    <row r="68" s="2" customFormat="1" ht="18" customHeight="1" spans="1:16">
      <c r="A68" s="9" t="s">
        <v>146</v>
      </c>
      <c r="B68" s="14" t="s">
        <v>147</v>
      </c>
      <c r="C68" s="8" t="s">
        <v>29</v>
      </c>
      <c r="D68" s="8">
        <v>3.5139</v>
      </c>
      <c r="E68" s="8">
        <f>0.0928+1.227+0.248+0.1002+0.003</f>
        <v>1.671</v>
      </c>
      <c r="F68" s="10">
        <f>2.94+1.8937+0.248+0.1002+0.003</f>
        <v>5.1849</v>
      </c>
      <c r="G68" s="10"/>
      <c r="H68" s="10"/>
      <c r="I68" s="10"/>
      <c r="J68" s="8">
        <f>D68+E68-F68-G68-H68-I68</f>
        <v>0</v>
      </c>
      <c r="K68" s="25"/>
      <c r="L68" s="25"/>
      <c r="M68" s="25"/>
      <c r="N68" s="25"/>
      <c r="O68" s="25"/>
      <c r="P68" s="25">
        <f t="shared" si="3"/>
        <v>0</v>
      </c>
    </row>
    <row r="69" s="2" customFormat="1" ht="18" customHeight="1" spans="1:16">
      <c r="A69" s="9" t="s">
        <v>148</v>
      </c>
      <c r="B69" s="14" t="s">
        <v>147</v>
      </c>
      <c r="C69" s="8" t="s">
        <v>47</v>
      </c>
      <c r="D69" s="8">
        <v>42.5193</v>
      </c>
      <c r="E69" s="8">
        <f>3.292+2.382+5.3256+1.6897+7.6622+3.776+0.3275+15.242+9.025+4.27+1.08+3.51885</f>
        <v>57.59085</v>
      </c>
      <c r="F69" s="10">
        <f>1.322+0.907+2.382+0.175+0.12+0.3275</f>
        <v>5.2335</v>
      </c>
      <c r="G69" s="10">
        <f>3.1248+11.341+11.4453+1.512+1.6897+10.1+8.762</f>
        <v>47.9748</v>
      </c>
      <c r="H69" s="10"/>
      <c r="I69" s="10"/>
      <c r="J69" s="8">
        <f>D69+E69-F69-G69-H69-I69</f>
        <v>46.90185</v>
      </c>
      <c r="K69" s="25"/>
      <c r="L69" s="25">
        <v>46.90185</v>
      </c>
      <c r="M69" s="25"/>
      <c r="N69" s="25"/>
      <c r="O69" s="25"/>
      <c r="P69" s="25">
        <f t="shared" si="3"/>
        <v>46.90185</v>
      </c>
    </row>
    <row r="70" s="2" customFormat="1" ht="18" customHeight="1" spans="1:16">
      <c r="A70" s="12" t="s">
        <v>149</v>
      </c>
      <c r="B70" s="14" t="s">
        <v>150</v>
      </c>
      <c r="C70" s="8" t="s">
        <v>29</v>
      </c>
      <c r="D70" s="8">
        <v>0</v>
      </c>
      <c r="E70" s="8">
        <f>8.3</f>
        <v>8.3</v>
      </c>
      <c r="F70" s="10">
        <f>8.3</f>
        <v>8.3</v>
      </c>
      <c r="G70" s="10"/>
      <c r="H70" s="10"/>
      <c r="I70" s="10"/>
      <c r="J70" s="8">
        <f>D70+E70-F70-G70-H70-I70</f>
        <v>0</v>
      </c>
      <c r="K70" s="25"/>
      <c r="L70" s="25"/>
      <c r="M70" s="25"/>
      <c r="N70" s="25"/>
      <c r="O70" s="25"/>
      <c r="P70" s="25">
        <f t="shared" si="3"/>
        <v>0</v>
      </c>
    </row>
    <row r="71" s="2" customFormat="1" ht="18" customHeight="1" spans="1:16">
      <c r="A71" s="9" t="s">
        <v>151</v>
      </c>
      <c r="B71" s="14" t="s">
        <v>150</v>
      </c>
      <c r="C71" s="8" t="s">
        <v>47</v>
      </c>
      <c r="D71" s="8">
        <v>30.4</v>
      </c>
      <c r="E71" s="8"/>
      <c r="F71" s="10"/>
      <c r="G71" s="10">
        <f>9+4</f>
        <v>13</v>
      </c>
      <c r="H71" s="10"/>
      <c r="I71" s="10"/>
      <c r="J71" s="8">
        <f>D71+E71-F71-G71-H71-I71</f>
        <v>17.4</v>
      </c>
      <c r="K71" s="25"/>
      <c r="L71" s="25">
        <v>17.4</v>
      </c>
      <c r="M71" s="25"/>
      <c r="N71" s="25"/>
      <c r="O71" s="25"/>
      <c r="P71" s="25">
        <f t="shared" si="3"/>
        <v>17.4</v>
      </c>
    </row>
    <row r="72" s="2" customFormat="1" ht="18" customHeight="1" spans="1:16">
      <c r="A72" s="11" t="s">
        <v>152</v>
      </c>
      <c r="B72" s="8"/>
      <c r="C72" s="8"/>
      <c r="D72" s="8">
        <v>3742.26747</v>
      </c>
      <c r="E72" s="14">
        <f>SUM(E4:E71)</f>
        <v>1439.58645</v>
      </c>
      <c r="F72" s="14">
        <f>SUM(F4:F71)</f>
        <v>1012.8491</v>
      </c>
      <c r="G72" s="14">
        <f>SUM(G4:G71)</f>
        <v>339.2978</v>
      </c>
      <c r="H72" s="14">
        <f>SUM(H4:H71)</f>
        <v>20.849</v>
      </c>
      <c r="I72" s="14">
        <f>SUM(I4:I71)</f>
        <v>0</v>
      </c>
      <c r="J72" s="8">
        <f>D72+E72-F72-G72-H72-I72</f>
        <v>3808.85802</v>
      </c>
      <c r="K72" s="25">
        <f t="shared" ref="K72:P72" si="4">SUM(K4:K71)</f>
        <v>923.839</v>
      </c>
      <c r="L72" s="25">
        <f t="shared" si="4"/>
        <v>995.88985</v>
      </c>
      <c r="M72" s="25">
        <f t="shared" si="4"/>
        <v>0</v>
      </c>
      <c r="N72" s="25">
        <f t="shared" si="4"/>
        <v>1648.70367</v>
      </c>
      <c r="O72" s="25">
        <f t="shared" si="4"/>
        <v>240.4255</v>
      </c>
      <c r="P72" s="25">
        <f t="shared" si="4"/>
        <v>3808.85802</v>
      </c>
    </row>
    <row r="73" s="1" customFormat="1" ht="25" customHeight="1" spans="1:10">
      <c r="A73" s="34" t="s">
        <v>153</v>
      </c>
      <c r="B73" s="27"/>
      <c r="C73" s="34"/>
      <c r="D73" s="27"/>
      <c r="E73" s="27"/>
      <c r="F73" s="35">
        <f>F72+G72+H72</f>
        <v>1372.9959</v>
      </c>
      <c r="G73" s="36"/>
      <c r="H73" s="36"/>
      <c r="I73" s="36"/>
      <c r="J73" s="27"/>
    </row>
    <row r="74" s="2" customFormat="1" ht="14.25" spans="1:16">
      <c r="A74" s="1"/>
      <c r="B74" s="2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="2" customFormat="1" ht="14.25" spans="1:16">
      <c r="A75" s="1"/>
      <c r="B75" s="2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="2" customFormat="1" ht="14.25" spans="1:16">
      <c r="A76" s="1"/>
      <c r="B76" s="2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="2" customFormat="1" ht="14.25" spans="1:16">
      <c r="A77" s="1"/>
      <c r="B77" s="2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="2" customFormat="1" ht="14.25" spans="1:16">
      <c r="A78" s="1"/>
      <c r="B78" s="2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="2" customFormat="1" ht="14.25" spans="1:16">
      <c r="A79" s="1"/>
      <c r="B79" s="2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="2" customFormat="1" ht="14.25" spans="1:16">
      <c r="A80" s="1"/>
      <c r="B80" s="2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="2" customFormat="1" ht="14.25" spans="1:16">
      <c r="A81" s="1"/>
      <c r="B81" s="2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="2" customFormat="1" ht="14.25" spans="1:16">
      <c r="A82" s="1"/>
      <c r="B82" s="2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="2" customFormat="1" ht="14.25" spans="1:16">
      <c r="A83" s="1"/>
      <c r="B83" s="2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="2" customFormat="1" ht="14.25" spans="1:16">
      <c r="A84" s="1"/>
      <c r="B84" s="2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="2" customFormat="1" ht="14.25" spans="1:16">
      <c r="A85" s="1"/>
      <c r="B85" s="2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="2" customFormat="1" ht="14.25" spans="1:16">
      <c r="A86" s="1"/>
      <c r="B86" s="2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="2" customFormat="1" ht="14.25" spans="1:16">
      <c r="A87" s="1"/>
      <c r="B87" s="2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="2" customFormat="1" ht="14.25" spans="1:16">
      <c r="A88" s="1"/>
      <c r="B88" s="2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="2" customFormat="1" ht="14.25" spans="1:16">
      <c r="A89" s="1"/>
      <c r="B89" s="2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="2" customFormat="1" ht="14.25" spans="1:16">
      <c r="A90" s="1"/>
      <c r="B90" s="2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="2" customFormat="1" ht="14.25" spans="1:16">
      <c r="A91" s="1"/>
      <c r="B91" s="2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="2" customFormat="1" ht="14.25" spans="1:16">
      <c r="A92" s="1"/>
      <c r="B92" s="2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="2" customFormat="1" ht="14.25" spans="1:16">
      <c r="A93" s="1"/>
      <c r="B93" s="2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="2" customFormat="1" ht="14.25" spans="1:16">
      <c r="A94" s="1"/>
      <c r="B94" s="2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="2" customFormat="1" ht="14.25" spans="1:16">
      <c r="A95" s="1"/>
      <c r="B95" s="2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="2" customFormat="1" ht="14.25" spans="1:16">
      <c r="A96" s="1"/>
      <c r="B96" s="2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="2" customFormat="1" ht="14.25" spans="1:16">
      <c r="A97" s="1"/>
      <c r="B97" s="2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="2" customFormat="1" ht="14.25" spans="1:16">
      <c r="A98" s="1"/>
      <c r="B98" s="2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="2" customFormat="1" ht="14.25" spans="1:16">
      <c r="A99" s="1"/>
      <c r="B99" s="2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="2" customFormat="1" ht="14.25" spans="1:16">
      <c r="A100" s="1"/>
      <c r="B100" s="2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="2" customFormat="1" ht="14.25" spans="1:16">
      <c r="A101" s="1"/>
      <c r="B101" s="2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="2" customFormat="1" ht="14.25" spans="1:16">
      <c r="A102" s="1"/>
      <c r="B102" s="2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="2" customFormat="1" ht="14.25" spans="1:16">
      <c r="A103" s="1"/>
      <c r="B103" s="2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="2" customFormat="1" ht="14.25" spans="1:16">
      <c r="A104" s="1"/>
      <c r="B104" s="2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="2" customFormat="1" ht="14.25" spans="1:16">
      <c r="A105" s="1"/>
      <c r="B105" s="2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="2" customFormat="1" ht="14.25" spans="1:16">
      <c r="A106" s="1"/>
      <c r="B106" s="2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="2" customFormat="1" ht="14.25" spans="1:16">
      <c r="A107" s="1"/>
      <c r="B107" s="2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="2" customFormat="1" ht="14.25" spans="1:16">
      <c r="A108" s="1"/>
      <c r="B108" s="2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="2" customFormat="1" ht="14.25" spans="1:16">
      <c r="A109" s="1"/>
      <c r="B109" s="2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="2" customFormat="1" ht="14.25" spans="1:16">
      <c r="A110" s="1"/>
      <c r="B110" s="2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="2" customFormat="1" ht="14.25" spans="1:16">
      <c r="A111" s="1"/>
      <c r="B111" s="2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="2" customFormat="1" ht="14.25" spans="1:16">
      <c r="A112" s="1"/>
      <c r="B112" s="2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="2" customFormat="1" ht="14.25" spans="1:16">
      <c r="A113" s="1"/>
      <c r="B113" s="2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="2" customFormat="1" ht="14.25" spans="1:16">
      <c r="A114" s="1"/>
      <c r="B114" s="2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="2" customFormat="1" ht="14.25" spans="1:16">
      <c r="A115" s="1"/>
      <c r="B115" s="2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="2" customFormat="1" ht="14.25" spans="1:16">
      <c r="A116" s="1"/>
      <c r="B116" s="2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="2" customFormat="1" ht="14.25" spans="1:16">
      <c r="A117" s="1"/>
      <c r="B117" s="2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="2" customFormat="1" ht="14.25" spans="1:16">
      <c r="A118" s="1"/>
      <c r="B118" s="2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="2" customFormat="1" ht="14.25" spans="1:16">
      <c r="A119" s="1"/>
      <c r="B119" s="2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="2" customFormat="1" ht="14.25" spans="1:16">
      <c r="A120" s="1"/>
      <c r="B120" s="2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="2" customFormat="1" ht="14.25" spans="1:16">
      <c r="A121" s="1"/>
      <c r="B121" s="2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="2" customFormat="1" ht="14.25" spans="1:16">
      <c r="A122" s="1"/>
      <c r="B122" s="2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="2" customFormat="1" ht="14.25" spans="1:16">
      <c r="A123" s="1"/>
      <c r="B123" s="2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="2" customFormat="1" ht="14.25" spans="1:16">
      <c r="A124" s="1"/>
      <c r="B124" s="2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="2" customFormat="1" ht="14.25" spans="1:16">
      <c r="A125" s="1"/>
      <c r="B125" s="2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="2" customFormat="1" ht="14.25" spans="1:16">
      <c r="A126" s="1"/>
      <c r="B126" s="2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="2" customFormat="1" ht="14.25" spans="1:16">
      <c r="A127" s="1"/>
      <c r="B127" s="2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="2" customFormat="1" ht="14.25" spans="1:16">
      <c r="A128" s="1"/>
      <c r="B128" s="2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="2" customFormat="1" ht="14.25" spans="1:16">
      <c r="A129" s="1"/>
      <c r="B129" s="2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="2" customFormat="1" ht="14.25" spans="1:16">
      <c r="A130" s="1"/>
      <c r="B130" s="2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="2" customFormat="1" ht="14.25" spans="1:16">
      <c r="A131" s="1"/>
      <c r="B131" s="2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="2" customFormat="1" ht="14.25" spans="1:16">
      <c r="A132" s="1"/>
      <c r="B132" s="2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="2" customFormat="1" ht="14.25" spans="1:16">
      <c r="A133" s="1"/>
      <c r="B133" s="2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="2" customFormat="1" ht="14.25" spans="1:16">
      <c r="A134" s="1"/>
      <c r="B134" s="2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="2" customFormat="1" ht="14.25" spans="1:16">
      <c r="A135" s="1"/>
      <c r="B135" s="2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="2" customFormat="1" ht="14.25" spans="1:16">
      <c r="A136" s="1"/>
      <c r="B136" s="2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="2" customFormat="1" ht="14.25" spans="1:16">
      <c r="A137" s="1"/>
      <c r="B137" s="2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="2" customFormat="1" ht="14.25" spans="1:16">
      <c r="A138" s="1"/>
      <c r="B138" s="2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="2" customFormat="1" ht="14.25" spans="1:16">
      <c r="A139" s="1"/>
      <c r="B139" s="2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="2" customFormat="1" ht="14.25" spans="1:16">
      <c r="A140" s="1"/>
      <c r="B140" s="2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="2" customFormat="1" ht="14.25" spans="1:16">
      <c r="A141" s="1"/>
      <c r="B141" s="2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="2" customFormat="1" ht="14.25" spans="1:16">
      <c r="A142" s="1"/>
      <c r="B142" s="2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="2" customFormat="1" ht="14.25" spans="1:16">
      <c r="A143" s="1"/>
      <c r="B143" s="2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="2" customFormat="1" ht="14.25" spans="1:16">
      <c r="A144" s="1"/>
      <c r="B144" s="2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="2" customFormat="1" ht="14.25" spans="1:16">
      <c r="A145" s="1"/>
      <c r="B145" s="2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="2" customFormat="1" ht="14.25" spans="1:16">
      <c r="A146" s="1"/>
      <c r="B146" s="2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="2" customFormat="1" ht="14.25" spans="1:16">
      <c r="A147" s="1"/>
      <c r="B147" s="2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="2" customFormat="1" ht="14.25" spans="1:16">
      <c r="A148" s="1"/>
      <c r="B148" s="2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="2" customFormat="1" ht="14.25" spans="1:16">
      <c r="A149" s="1"/>
      <c r="B149" s="2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="2" customFormat="1" ht="14.25" spans="1:16">
      <c r="A150" s="1"/>
      <c r="B150" s="2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="2" customFormat="1" ht="14.25" spans="1:16">
      <c r="A151" s="1"/>
      <c r="B151" s="2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="2" customFormat="1" ht="14.25" spans="1:16">
      <c r="A152" s="1"/>
      <c r="B152" s="2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="2" customFormat="1" ht="14.25" spans="1:16">
      <c r="A153" s="1"/>
      <c r="B153" s="2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="2" customFormat="1" ht="14.25" spans="1:16">
      <c r="A154" s="1"/>
      <c r="B154" s="2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="2" customFormat="1" ht="14.25" spans="1:16">
      <c r="A155" s="1"/>
      <c r="B155" s="2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="2" customFormat="1" ht="14.25" spans="1:16">
      <c r="A156" s="1"/>
      <c r="B156" s="2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="2" customFormat="1" ht="14.25" spans="1:16">
      <c r="A157" s="1"/>
      <c r="B157" s="2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="2" customFormat="1" ht="14.25" spans="1:16">
      <c r="A158" s="1"/>
      <c r="B158" s="2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="2" customFormat="1" ht="14.25" spans="1:16">
      <c r="A159" s="1"/>
      <c r="B159" s="2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="2" customFormat="1" ht="14.25" spans="1:16">
      <c r="A160" s="1"/>
      <c r="B160" s="2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="2" customFormat="1" ht="14.25" spans="1:16">
      <c r="A161" s="1"/>
      <c r="B161" s="2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="2" customFormat="1" ht="14.25" spans="1:16">
      <c r="A162" s="1"/>
      <c r="B162" s="2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="2" customFormat="1" ht="14.25" spans="1:16">
      <c r="A163" s="1"/>
      <c r="B163" s="2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="2" customFormat="1" ht="14.25" spans="1:16">
      <c r="A164" s="1"/>
      <c r="B164" s="2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="2" customFormat="1" ht="14.25" spans="1:16">
      <c r="A165" s="1"/>
      <c r="B165" s="2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="2" customFormat="1" ht="14.25" spans="1:16">
      <c r="A166" s="1"/>
      <c r="B166" s="2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="2" customFormat="1" ht="14.25" spans="1:16">
      <c r="A167" s="1"/>
      <c r="B167" s="2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="2" customFormat="1" ht="14.25" spans="1:16">
      <c r="A168" s="1"/>
      <c r="B168" s="2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="2" customFormat="1" ht="14.25" spans="1:16">
      <c r="A169" s="1"/>
      <c r="B169" s="2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="2" customFormat="1" ht="14.25" spans="1:16">
      <c r="A170" s="1"/>
      <c r="B170" s="2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="2" customFormat="1" ht="14.25" spans="1:16">
      <c r="A171" s="1"/>
      <c r="B171" s="2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="2" customFormat="1" ht="14.25" spans="1:16">
      <c r="A172" s="1"/>
      <c r="B172" s="2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="2" customFormat="1" ht="14.25" spans="1:16">
      <c r="A173" s="1"/>
      <c r="B173" s="2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="2" customFormat="1" ht="14.25" spans="1:16">
      <c r="A174" s="1"/>
      <c r="B174" s="2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="2" customFormat="1" ht="14.25" spans="1:16">
      <c r="A175" s="1"/>
      <c r="B175" s="2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="2" customFormat="1" ht="14.25" spans="1:16">
      <c r="A176" s="1"/>
      <c r="B176" s="2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="2" customFormat="1" ht="14.25" spans="1:16">
      <c r="A177" s="1"/>
      <c r="B177" s="2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="2" customFormat="1" ht="14.25" spans="1:16">
      <c r="A178" s="1"/>
      <c r="B178" s="2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="2" customFormat="1" ht="14.25" spans="1:16">
      <c r="A179" s="1"/>
      <c r="B179" s="2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="2" customFormat="1" ht="14.25" spans="1:16">
      <c r="A180" s="1"/>
      <c r="B180" s="2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="2" customFormat="1" ht="14.25" spans="1:16">
      <c r="A181" s="1"/>
      <c r="B181" s="2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="2" customFormat="1" ht="14.25" spans="1:16">
      <c r="A182" s="1"/>
      <c r="B182" s="2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="2" customFormat="1" ht="14.25" spans="1:16">
      <c r="A183" s="1"/>
      <c r="B183" s="2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="2" customFormat="1" ht="14.25" spans="1:16">
      <c r="A184" s="1"/>
      <c r="B184" s="2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="2" customFormat="1" ht="14.25" spans="1:16">
      <c r="A185" s="1"/>
      <c r="B185" s="2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</sheetData>
  <mergeCells count="18">
    <mergeCell ref="A1:J1"/>
    <mergeCell ref="R1:AA1"/>
    <mergeCell ref="F2:I2"/>
    <mergeCell ref="V2:X2"/>
    <mergeCell ref="F73:I73"/>
    <mergeCell ref="A2:A3"/>
    <mergeCell ref="B2:B3"/>
    <mergeCell ref="C2:C3"/>
    <mergeCell ref="D2:D3"/>
    <mergeCell ref="E2:E3"/>
    <mergeCell ref="J2:J3"/>
    <mergeCell ref="R2:R3"/>
    <mergeCell ref="S2:S3"/>
    <mergeCell ref="T2:T3"/>
    <mergeCell ref="U2:U3"/>
    <mergeCell ref="Y2:Y3"/>
    <mergeCell ref="Z2:Z3"/>
    <mergeCell ref="AA2:A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2025-06-03T08:17:00Z</dcterms:created>
  <dcterms:modified xsi:type="dcterms:W3CDTF">2026-01-15T01:09:25Z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2A8E59866FB24C00B482AFFA54A672FB_11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