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<sst xmlns="http://schemas.openxmlformats.org/spreadsheetml/2006/main" count="252" uniqueCount="149">
  <si>
    <t>2025年生产部8月接收处置记录统计表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</si>
  <si>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</si>
  <si>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</si>
  <si>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</si>
  <si>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</si>
  <si>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</si>
  <si>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</si>
  <si>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</si>
  <si>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</si>
  <si>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</si>
  <si>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</si>
  <si>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</si>
  <si>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</si>
  <si>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</si>
  <si>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</si>
  <si>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</si>
  <si>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</si>
  <si>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</si>
  <si>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</si>
  <si>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</si>
  <si>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</si>
  <si>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</si>
  <si>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</si>
  <si>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</si>
  <si>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</si>
  <si>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</si>
  <si>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</si>
  <si>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废盐</t>
  </si>
  <si>
    <t>271-005-02</t>
  </si>
  <si>
    <t>固态</t>
  </si>
  <si>
    <t>炉渣（回转窑）</t>
  </si>
  <si>
    <t>废药物、药品
杀虫剂、磷化铝等</t>
  </si>
  <si>
    <t>900-003-04</t>
  </si>
  <si>
    <t>飞灰（回转窑）</t>
  </si>
  <si>
    <t>废有机溶剂及废物</t>
  </si>
  <si>
    <t>900-402-06</t>
  </si>
  <si>
    <t>液态</t>
  </si>
  <si>
    <t>飞灰（废液炉）</t>
  </si>
  <si>
    <t>废有机溶剂</t>
  </si>
  <si>
    <t>900-404-06</t>
  </si>
  <si>
    <t>废油渣/泥</t>
  </si>
  <si>
    <t>精馏切水后剩下的罐底泥</t>
  </si>
  <si>
    <t>废有机废液</t>
  </si>
  <si>
    <t>900-405-06</t>
  </si>
  <si>
    <t>含油污水</t>
  </si>
  <si>
    <t>蒸汽清洗过程</t>
  </si>
  <si>
    <t>900-407-06</t>
  </si>
  <si>
    <t>废商标</t>
  </si>
  <si>
    <t>除商标</t>
  </si>
  <si>
    <t>危废污泥</t>
  </si>
  <si>
    <t>900-409-06</t>
  </si>
  <si>
    <t>废残液</t>
  </si>
  <si>
    <t>抽残液</t>
  </si>
  <si>
    <t>油污水</t>
  </si>
  <si>
    <t>251-001-08</t>
  </si>
  <si>
    <t>废渣</t>
  </si>
  <si>
    <t>清洗过程</t>
  </si>
  <si>
    <t>废溶剂油</t>
  </si>
  <si>
    <t>291-001-08</t>
  </si>
  <si>
    <t>半固态</t>
  </si>
  <si>
    <t>漆渣</t>
  </si>
  <si>
    <t>研磨泥</t>
  </si>
  <si>
    <t>900-200-08</t>
  </si>
  <si>
    <t>污水厂污泥</t>
  </si>
  <si>
    <t>水处理后产生的污泥</t>
  </si>
  <si>
    <t>HW08废油</t>
  </si>
  <si>
    <t>废清洗剂</t>
  </si>
  <si>
    <t>清洗剂清洗过程</t>
  </si>
  <si>
    <t>废煤油</t>
  </si>
  <si>
    <t>900-201-08</t>
  </si>
  <si>
    <t>废润滑脂</t>
  </si>
  <si>
    <t>900-209-08</t>
  </si>
  <si>
    <t>水处理浮渣及污泥</t>
  </si>
  <si>
    <t>900-210-08</t>
  </si>
  <si>
    <t>废机油、含油废水</t>
  </si>
  <si>
    <t>废油泥</t>
  </si>
  <si>
    <t>废矿物油</t>
  </si>
  <si>
    <t>900-214-08</t>
  </si>
  <si>
    <t>900-217-08</t>
  </si>
  <si>
    <t>砂轮渣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</si>
  <si>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</si>
  <si>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</si>
  <si>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</si>
  <si>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</si>
  <si>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</si>
  <si>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</si>
  <si>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</si>
  <si>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</si>
  <si>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废水、乳化液</t>
  </si>
  <si>
    <t>900-007-09</t>
  </si>
  <si>
    <t>废乳化液</t>
  </si>
  <si>
    <t>900-006-09</t>
  </si>
  <si>
    <t>砂轮沫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</si>
  <si>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</si>
  <si>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</si>
  <si>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</si>
  <si>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</si>
  <si>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</si>
  <si>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</si>
  <si>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</si>
  <si>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</si>
  <si>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废漆渣</t>
  </si>
  <si>
    <t>900-252-12</t>
  </si>
  <si>
    <t>硒鼓墨盒</t>
  </si>
  <si>
    <t>900-299-12</t>
  </si>
  <si>
    <t>油漆渣</t>
  </si>
  <si>
    <t>污泥</t>
  </si>
  <si>
    <t>264-012-12</t>
  </si>
  <si>
    <t>废漆渣稀释剂混合物</t>
  </si>
  <si>
    <t>264-013-12</t>
  </si>
  <si>
    <t>发泡废料，废胶水</t>
  </si>
  <si>
    <t>900-014-13</t>
  </si>
  <si>
    <t>废树脂</t>
  </si>
  <si>
    <t>900-015-13</t>
  </si>
  <si>
    <t>有机树脂废物</t>
  </si>
  <si>
    <t>900-016-13</t>
  </si>
  <si>
    <t>PBL真空废液</t>
  </si>
  <si>
    <t>265-101-13</t>
  </si>
  <si>
    <t>不合格有机树脂</t>
  </si>
  <si>
    <t>265-103-13</t>
  </si>
  <si>
    <t>废显影液</t>
  </si>
  <si>
    <t>900-019-16</t>
  </si>
  <si>
    <t>镀铜溶液</t>
  </si>
  <si>
    <t>336-062-17</t>
  </si>
  <si>
    <t>电镀污泥</t>
  </si>
  <si>
    <t>336-063-17</t>
  </si>
  <si>
    <t>磷化污泥</t>
  </si>
  <si>
    <t>336-064-17</t>
  </si>
  <si>
    <t>金属表面处理污泥</t>
  </si>
  <si>
    <t>336-069-17</t>
  </si>
  <si>
    <t>废碱液</t>
  </si>
  <si>
    <t>251-015-35</t>
  </si>
  <si>
    <t>废碱泥</t>
  </si>
  <si>
    <t>含酚废水</t>
  </si>
  <si>
    <t>261-070-39</t>
  </si>
  <si>
    <t>含油废物</t>
  </si>
  <si>
    <t>900-041-49</t>
  </si>
  <si>
    <t>废酸碱袋</t>
  </si>
  <si>
    <t>900-042-49</t>
  </si>
  <si>
    <t>772-006-49</t>
  </si>
  <si>
    <t>废活性炭</t>
  </si>
  <si>
    <t>900-039-49</t>
  </si>
  <si>
    <t>过期化学药品</t>
  </si>
  <si>
    <t>900-047-49</t>
  </si>
  <si>
    <t>乙腈、异丙酮、废液</t>
  </si>
  <si>
    <t>过期面膜原料、残液</t>
  </si>
  <si>
    <t>900-999-49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</si>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</sst>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1"/>
  <sheetViews>
    <sheetView tabSelected="1" topLeftCell="F1" workbookViewId="0">
      <selection activeCell="Y4" sqref="Y4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0.375" style="1" customWidth="1"/>
    <col min="12" max="12" width="10.5" style="1" customWidth="1"/>
    <col min="13" max="13" width="9.375" style="1"/>
    <col min="14" max="14" width="11.75" style="1" customWidth="1"/>
    <col min="15" max="15" width="6.125" style="1" customWidth="1"/>
    <col min="16" max="16" width="12.625" style="1"/>
    <col min="17" max="17" width="9" style="1"/>
    <col min="18" max="18" width="15.625" style="1" customWidth="1"/>
    <col min="19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6" t="s">
        <v>1</v>
      </c>
      <c r="S1" s="26"/>
      <c r="T1" s="26"/>
      <c r="U1" s="26"/>
      <c r="V1" s="26"/>
      <c r="W1" s="26"/>
      <c r="X1" s="26"/>
      <c r="Y1" s="26"/>
      <c r="Z1" s="26"/>
      <c r="AA1" s="26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3</v>
      </c>
      <c r="E4" s="8"/>
      <c r="F4" s="10"/>
      <c r="G4" s="10"/>
      <c r="H4" s="10"/>
      <c r="I4" s="10"/>
      <c r="J4" s="8">
        <f t="shared" ref="J4:J67" si="0">D4+E4-F4-G4-H4-I4</f>
        <v>3</v>
      </c>
      <c r="K4" s="25">
        <v>3</v>
      </c>
      <c r="L4" s="25"/>
      <c r="M4" s="25"/>
      <c r="N4" s="25"/>
      <c r="O4" s="25"/>
      <c r="P4" s="25">
        <f t="shared" ref="P4:P67" si="1">K4+L4+M4+N4+O4</f>
        <v>3</v>
      </c>
      <c r="R4" s="30" t="s">
        <v>30</v>
      </c>
      <c r="S4" s="27">
        <v>325.135</v>
      </c>
      <c r="T4" s="27">
        <f>112.345-22.73</f>
        <v>89.615</v>
      </c>
      <c r="U4" s="27">
        <f>88-8</f>
        <v>80</v>
      </c>
      <c r="V4" s="27"/>
      <c r="W4" s="27"/>
      <c r="X4" s="27">
        <v>151.265</v>
      </c>
      <c r="Y4" s="27">
        <f t="shared" ref="Y4:Y14" si="2">S4+T4-V4-X4-W4</f>
        <v>263.485</v>
      </c>
      <c r="Z4" s="25"/>
      <c r="AA4" s="25"/>
    </row>
    <row r="5" s="2" customFormat="1" ht="26" customHeight="1" spans="1:27">
      <c r="A5" s="11" t="s">
        <v>31</v>
      </c>
      <c r="B5" s="8" t="s">
        <v>32</v>
      </c>
      <c r="C5" s="8" t="s">
        <v>29</v>
      </c>
      <c r="D5" s="8">
        <v>0</v>
      </c>
      <c r="E5" s="8">
        <f>0.15</f>
        <v>0.15</v>
      </c>
      <c r="F5" s="10">
        <f>0.15</f>
        <v>0.15</v>
      </c>
      <c r="G5" s="10"/>
      <c r="H5" s="10"/>
      <c r="I5" s="10"/>
      <c r="J5" s="8">
        <f t="shared" si="0"/>
        <v>0</v>
      </c>
      <c r="K5" s="25"/>
      <c r="L5" s="25"/>
      <c r="M5" s="25"/>
      <c r="N5" s="25"/>
      <c r="O5" s="25"/>
      <c r="P5" s="25">
        <f t="shared" si="1"/>
        <v>0</v>
      </c>
      <c r="R5" s="30" t="s">
        <v>33</v>
      </c>
      <c r="S5" s="31">
        <v>14.628</v>
      </c>
      <c r="T5" s="27">
        <f>15.5</f>
        <v>15.5</v>
      </c>
      <c r="U5" s="27">
        <v>37</v>
      </c>
      <c r="V5" s="27"/>
      <c r="W5" s="27"/>
      <c r="X5" s="27">
        <v>16.51</v>
      </c>
      <c r="Y5" s="27">
        <f t="shared" si="2"/>
        <v>13.618</v>
      </c>
      <c r="Z5" s="25"/>
      <c r="AA5" s="25"/>
    </row>
    <row r="6" s="2" customFormat="1" ht="18" customHeight="1" spans="1:27">
      <c r="A6" s="12" t="s">
        <v>34</v>
      </c>
      <c r="B6" s="8" t="s">
        <v>35</v>
      </c>
      <c r="C6" s="8" t="s">
        <v>36</v>
      </c>
      <c r="D6" s="8">
        <v>127.312</v>
      </c>
      <c r="E6" s="8">
        <f>0.3+2.4835</f>
        <v>2.7835</v>
      </c>
      <c r="F6" s="10">
        <f>0.3</f>
        <v>0.3</v>
      </c>
      <c r="G6" s="10"/>
      <c r="H6" s="10"/>
      <c r="I6" s="10"/>
      <c r="J6" s="8">
        <f t="shared" si="0"/>
        <v>129.7955</v>
      </c>
      <c r="K6" s="25"/>
      <c r="L6" s="25">
        <v>129.7955</v>
      </c>
      <c r="M6" s="25"/>
      <c r="N6" s="25"/>
      <c r="O6" s="25"/>
      <c r="P6" s="25">
        <f t="shared" si="1"/>
        <v>129.7955</v>
      </c>
      <c r="R6" s="30" t="s">
        <v>37</v>
      </c>
      <c r="S6" s="31">
        <v>3.53</v>
      </c>
      <c r="T6" s="27">
        <v>4.2</v>
      </c>
      <c r="U6" s="27">
        <v>11</v>
      </c>
      <c r="V6" s="27"/>
      <c r="W6" s="29"/>
      <c r="X6" s="29">
        <v>4.93</v>
      </c>
      <c r="Y6" s="27">
        <f t="shared" si="2"/>
        <v>2.8</v>
      </c>
      <c r="Z6" s="25"/>
      <c r="AA6" s="25"/>
    </row>
    <row r="7" s="2" customFormat="1" ht="18" customHeight="1" spans="1:27">
      <c r="A7" s="13" t="s">
        <v>38</v>
      </c>
      <c r="B7" s="14" t="s">
        <v>39</v>
      </c>
      <c r="C7" s="8" t="s">
        <v>36</v>
      </c>
      <c r="D7" s="8">
        <v>151.722</v>
      </c>
      <c r="E7" s="8">
        <f>27.4+27.18+1.466+27.08+54.48+27.03+27.09</f>
        <v>191.726</v>
      </c>
      <c r="F7" s="10">
        <f>10+10+3+5.55+1.466+6+5+5+11</f>
        <v>57.016</v>
      </c>
      <c r="G7" s="10">
        <f>25.8+8.31+15</f>
        <v>49.11</v>
      </c>
      <c r="H7" s="10"/>
      <c r="I7" s="10"/>
      <c r="J7" s="8">
        <f t="shared" si="0"/>
        <v>237.322</v>
      </c>
      <c r="K7" s="25"/>
      <c r="L7" s="25">
        <v>237.322</v>
      </c>
      <c r="M7" s="25"/>
      <c r="N7" s="25"/>
      <c r="O7" s="25"/>
      <c r="P7" s="25">
        <f t="shared" si="1"/>
        <v>237.322</v>
      </c>
      <c r="R7" s="30" t="s">
        <v>40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5" t="s">
        <v>41</v>
      </c>
      <c r="AA7" s="25"/>
    </row>
    <row r="8" s="2" customFormat="1" ht="18" customHeight="1" spans="1:27">
      <c r="A8" s="9" t="s">
        <v>42</v>
      </c>
      <c r="B8" s="14" t="s">
        <v>43</v>
      </c>
      <c r="C8" s="8" t="s">
        <v>36</v>
      </c>
      <c r="D8" s="8">
        <v>0</v>
      </c>
      <c r="E8" s="8">
        <f>4.5</f>
        <v>4.5</v>
      </c>
      <c r="F8" s="10"/>
      <c r="G8" s="10"/>
      <c r="H8" s="10"/>
      <c r="I8" s="10"/>
      <c r="J8" s="8">
        <f t="shared" si="0"/>
        <v>4.5</v>
      </c>
      <c r="K8" s="25"/>
      <c r="L8" s="25">
        <v>4.5</v>
      </c>
      <c r="M8" s="25"/>
      <c r="N8" s="25"/>
      <c r="O8" s="25"/>
      <c r="P8" s="25">
        <f t="shared" si="1"/>
        <v>4.5</v>
      </c>
      <c r="R8" s="13" t="s">
        <v>44</v>
      </c>
      <c r="S8" s="32">
        <v>0</v>
      </c>
      <c r="T8" s="33">
        <v>0.63</v>
      </c>
      <c r="U8" s="33"/>
      <c r="V8" s="33">
        <v>0.63</v>
      </c>
      <c r="W8" s="33"/>
      <c r="X8" s="33"/>
      <c r="Y8" s="27">
        <f t="shared" si="2"/>
        <v>0</v>
      </c>
      <c r="Z8" s="25" t="s">
        <v>45</v>
      </c>
      <c r="AA8" s="25" t="s">
        <v>10</v>
      </c>
    </row>
    <row r="9" s="2" customFormat="1" ht="18" customHeight="1" spans="1:27">
      <c r="A9" s="9" t="s">
        <v>38</v>
      </c>
      <c r="B9" s="14" t="s">
        <v>46</v>
      </c>
      <c r="C9" s="8" t="s">
        <v>36</v>
      </c>
      <c r="D9" s="8">
        <v>164.338</v>
      </c>
      <c r="E9" s="8">
        <f>12.64</f>
        <v>12.64</v>
      </c>
      <c r="F9" s="10"/>
      <c r="G9" s="10">
        <f>8.04+3+17.34+8.2</f>
        <v>36.58</v>
      </c>
      <c r="H9" s="10"/>
      <c r="I9" s="10"/>
      <c r="J9" s="8">
        <f t="shared" si="0"/>
        <v>140.398</v>
      </c>
      <c r="K9" s="25"/>
      <c r="L9" s="25">
        <v>140.398</v>
      </c>
      <c r="M9" s="25"/>
      <c r="N9" s="25"/>
      <c r="O9" s="25"/>
      <c r="P9" s="25">
        <f t="shared" si="1"/>
        <v>140.398</v>
      </c>
      <c r="R9" s="13" t="s">
        <v>47</v>
      </c>
      <c r="S9" s="8">
        <v>0</v>
      </c>
      <c r="T9" s="33">
        <v>0.31</v>
      </c>
      <c r="U9" s="33"/>
      <c r="V9" s="33">
        <v>0.31</v>
      </c>
      <c r="W9" s="33"/>
      <c r="X9" s="25"/>
      <c r="Y9" s="27">
        <f t="shared" si="2"/>
        <v>0</v>
      </c>
      <c r="Z9" s="25" t="s">
        <v>48</v>
      </c>
      <c r="AA9" s="25" t="s">
        <v>10</v>
      </c>
    </row>
    <row r="10" s="2" customFormat="1" ht="18" customHeight="1" spans="1:27">
      <c r="A10" s="9" t="s">
        <v>49</v>
      </c>
      <c r="B10" s="14" t="s">
        <v>50</v>
      </c>
      <c r="C10" s="8" t="s">
        <v>29</v>
      </c>
      <c r="D10" s="8">
        <v>88.88</v>
      </c>
      <c r="E10" s="8">
        <f>19.94+26.3+27.78</f>
        <v>74.02</v>
      </c>
      <c r="F10" s="10">
        <f>16.64+45.18+27.06+19.94+26.3</f>
        <v>135.12</v>
      </c>
      <c r="G10" s="10"/>
      <c r="H10" s="10"/>
      <c r="I10" s="10"/>
      <c r="J10" s="8">
        <f t="shared" si="0"/>
        <v>27.78</v>
      </c>
      <c r="K10" s="25"/>
      <c r="L10" s="25">
        <v>27.78</v>
      </c>
      <c r="M10" s="25"/>
      <c r="N10" s="25"/>
      <c r="O10" s="25"/>
      <c r="P10" s="25">
        <f t="shared" si="1"/>
        <v>27.78</v>
      </c>
      <c r="R10" s="13" t="s">
        <v>51</v>
      </c>
      <c r="S10" s="32">
        <v>0</v>
      </c>
      <c r="T10" s="33">
        <v>0.885</v>
      </c>
      <c r="U10" s="33"/>
      <c r="V10" s="33">
        <v>0.885</v>
      </c>
      <c r="W10" s="33"/>
      <c r="X10" s="25"/>
      <c r="Y10" s="27">
        <f t="shared" si="2"/>
        <v>0</v>
      </c>
      <c r="Z10" s="25" t="s">
        <v>52</v>
      </c>
      <c r="AA10" s="25" t="s">
        <v>10</v>
      </c>
    </row>
    <row r="11" s="2" customFormat="1" ht="18" customHeight="1" spans="1:27">
      <c r="A11" s="9" t="s">
        <v>53</v>
      </c>
      <c r="B11" s="14" t="s">
        <v>54</v>
      </c>
      <c r="C11" s="8" t="s">
        <v>36</v>
      </c>
      <c r="D11" s="8">
        <v>670.08</v>
      </c>
      <c r="E11" s="8">
        <f>3.1</f>
        <v>3.1</v>
      </c>
      <c r="F11" s="10"/>
      <c r="G11" s="10">
        <f>22.1+5.7+10.88+16.5+22.32+16.58+6.4</f>
        <v>100.48</v>
      </c>
      <c r="H11" s="10"/>
      <c r="I11" s="10"/>
      <c r="J11" s="8">
        <f t="shared" si="0"/>
        <v>572.7</v>
      </c>
      <c r="K11" s="25"/>
      <c r="L11" s="25"/>
      <c r="M11" s="25"/>
      <c r="N11" s="25">
        <v>572.7</v>
      </c>
      <c r="O11" s="25"/>
      <c r="P11" s="25">
        <f t="shared" si="1"/>
        <v>572.7</v>
      </c>
      <c r="R11" s="13" t="s">
        <v>55</v>
      </c>
      <c r="S11" s="8">
        <v>0</v>
      </c>
      <c r="T11" s="33">
        <v>0.475</v>
      </c>
      <c r="U11" s="33"/>
      <c r="V11" s="33">
        <v>0.475</v>
      </c>
      <c r="W11" s="33"/>
      <c r="X11" s="25"/>
      <c r="Y11" s="27">
        <f t="shared" si="2"/>
        <v>0</v>
      </c>
      <c r="Z11" s="25" t="s">
        <v>56</v>
      </c>
      <c r="AA11" s="25" t="s">
        <v>10</v>
      </c>
    </row>
    <row r="12" s="2" customFormat="1" ht="18" customHeight="1" spans="1:27">
      <c r="A12" s="9" t="s">
        <v>57</v>
      </c>
      <c r="B12" s="14" t="s">
        <v>58</v>
      </c>
      <c r="C12" s="8" t="s">
        <v>59</v>
      </c>
      <c r="D12" s="8">
        <v>34.28</v>
      </c>
      <c r="E12" s="8">
        <f>16.94</f>
        <v>16.94</v>
      </c>
      <c r="F12" s="10"/>
      <c r="G12" s="10"/>
      <c r="H12" s="10"/>
      <c r="I12" s="10"/>
      <c r="J12" s="8">
        <f t="shared" si="0"/>
        <v>51.22</v>
      </c>
      <c r="K12" s="25">
        <f>51.22-20</f>
        <v>31.22</v>
      </c>
      <c r="L12" s="25"/>
      <c r="M12" s="25"/>
      <c r="N12" s="25"/>
      <c r="O12" s="25">
        <v>20</v>
      </c>
      <c r="P12" s="25">
        <f t="shared" si="1"/>
        <v>51.22</v>
      </c>
      <c r="R12" s="13" t="s">
        <v>60</v>
      </c>
      <c r="S12" s="32">
        <v>0</v>
      </c>
      <c r="T12" s="8"/>
      <c r="U12" s="8"/>
      <c r="V12" s="8"/>
      <c r="W12" s="8"/>
      <c r="X12" s="25"/>
      <c r="Y12" s="27">
        <f t="shared" si="2"/>
        <v>0</v>
      </c>
      <c r="Z12" s="25" t="s">
        <v>56</v>
      </c>
      <c r="AA12" s="25"/>
    </row>
    <row r="13" s="2" customFormat="1" ht="18" customHeight="1" spans="1:27">
      <c r="A13" s="9" t="s">
        <v>61</v>
      </c>
      <c r="B13" s="8" t="s">
        <v>62</v>
      </c>
      <c r="C13" s="8" t="s">
        <v>29</v>
      </c>
      <c r="D13" s="8">
        <v>10.881</v>
      </c>
      <c r="E13" s="8">
        <f>17.433</f>
        <v>17.433</v>
      </c>
      <c r="F13" s="10">
        <f>10.881+17.433</f>
        <v>28.314</v>
      </c>
      <c r="G13" s="10"/>
      <c r="H13" s="10"/>
      <c r="I13" s="10"/>
      <c r="J13" s="8">
        <f t="shared" si="0"/>
        <v>0</v>
      </c>
      <c r="K13" s="25"/>
      <c r="L13" s="25"/>
      <c r="M13" s="25"/>
      <c r="N13" s="25"/>
      <c r="O13" s="25"/>
      <c r="P13" s="25">
        <f t="shared" si="1"/>
        <v>0</v>
      </c>
      <c r="R13" s="25" t="s">
        <v>63</v>
      </c>
      <c r="S13" s="33">
        <v>0</v>
      </c>
      <c r="T13" s="33">
        <v>1.21</v>
      </c>
      <c r="U13" s="33"/>
      <c r="V13" s="33">
        <v>1.21</v>
      </c>
      <c r="W13" s="33"/>
      <c r="X13" s="33"/>
      <c r="Y13" s="27">
        <f t="shared" si="2"/>
        <v>0</v>
      </c>
      <c r="Z13" s="25" t="s">
        <v>64</v>
      </c>
      <c r="AA13" s="25" t="s">
        <v>10</v>
      </c>
    </row>
    <row r="14" s="2" customFormat="1" ht="18" customHeight="1" spans="1:27">
      <c r="A14" s="12" t="s">
        <v>65</v>
      </c>
      <c r="B14" s="8" t="s">
        <v>62</v>
      </c>
      <c r="C14" s="8" t="s">
        <v>36</v>
      </c>
      <c r="D14" s="8">
        <v>82.543</v>
      </c>
      <c r="E14" s="8">
        <f>3.72</f>
        <v>3.72</v>
      </c>
      <c r="F14" s="10"/>
      <c r="G14" s="10">
        <f>5.72+16.8+5.5</f>
        <v>28.02</v>
      </c>
      <c r="H14" s="10"/>
      <c r="I14" s="10"/>
      <c r="J14" s="8">
        <f t="shared" si="0"/>
        <v>58.243</v>
      </c>
      <c r="K14" s="25">
        <v>11.883</v>
      </c>
      <c r="L14" s="25"/>
      <c r="M14" s="25"/>
      <c r="N14" s="25">
        <v>46.36</v>
      </c>
      <c r="O14" s="25"/>
      <c r="P14" s="25">
        <f t="shared" si="1"/>
        <v>58.243</v>
      </c>
      <c r="R14" s="25" t="s">
        <v>66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5" t="s">
        <v>67</v>
      </c>
      <c r="AA14" s="25"/>
    </row>
    <row r="15" s="2" customFormat="1" ht="18" customHeight="1" spans="1:16">
      <c r="A15" s="9" t="s">
        <v>68</v>
      </c>
      <c r="B15" s="8" t="s">
        <v>69</v>
      </c>
      <c r="C15" s="8" t="s">
        <v>36</v>
      </c>
      <c r="D15" s="8">
        <v>1.48</v>
      </c>
      <c r="E15" s="8">
        <f>4.52+0.64</f>
        <v>5.16</v>
      </c>
      <c r="F15" s="10"/>
      <c r="G15" s="10"/>
      <c r="H15" s="10"/>
      <c r="I15" s="10"/>
      <c r="J15" s="8">
        <f t="shared" si="0"/>
        <v>6.64</v>
      </c>
      <c r="K15" s="25">
        <v>4.52</v>
      </c>
      <c r="L15" s="25"/>
      <c r="M15" s="25"/>
      <c r="N15" s="25">
        <v>2.12</v>
      </c>
      <c r="O15" s="25"/>
      <c r="P15" s="25">
        <f t="shared" si="1"/>
        <v>6.64</v>
      </c>
    </row>
    <row r="16" s="2" customFormat="1" ht="18" customHeight="1" spans="1:16">
      <c r="A16" s="13" t="s">
        <v>70</v>
      </c>
      <c r="B16" s="8" t="s">
        <v>71</v>
      </c>
      <c r="C16" s="8" t="s">
        <v>59</v>
      </c>
      <c r="D16" s="8">
        <v>0</v>
      </c>
      <c r="E16" s="8">
        <f>0.082+0.081</f>
        <v>0.163</v>
      </c>
      <c r="F16" s="10">
        <f>0.082</f>
        <v>0.082</v>
      </c>
      <c r="G16" s="10"/>
      <c r="H16" s="10"/>
      <c r="I16" s="10"/>
      <c r="J16" s="8">
        <f t="shared" si="0"/>
        <v>0.081</v>
      </c>
      <c r="K16" s="25">
        <v>0.081</v>
      </c>
      <c r="L16" s="25"/>
      <c r="M16" s="25"/>
      <c r="N16" s="25"/>
      <c r="O16" s="25"/>
      <c r="P16" s="25">
        <f t="shared" si="1"/>
        <v>0.081</v>
      </c>
    </row>
    <row r="17" s="2" customFormat="1" ht="18" customHeight="1" spans="1:16">
      <c r="A17" s="13" t="s">
        <v>72</v>
      </c>
      <c r="B17" s="8" t="s">
        <v>73</v>
      </c>
      <c r="C17" s="8" t="s">
        <v>59</v>
      </c>
      <c r="D17" s="8">
        <v>250.238</v>
      </c>
      <c r="E17" s="8">
        <f>2.844+9+4.204+0.071</f>
        <v>16.119</v>
      </c>
      <c r="F17" s="10">
        <f>1.94+6.158+2.844+17.44+4+8+9.94+10+21.9</f>
        <v>82.222</v>
      </c>
      <c r="G17" s="10"/>
      <c r="H17" s="10"/>
      <c r="I17" s="10"/>
      <c r="J17" s="8">
        <f t="shared" si="0"/>
        <v>184.135</v>
      </c>
      <c r="K17" s="25">
        <v>9.071</v>
      </c>
      <c r="L17" s="25">
        <v>4.204</v>
      </c>
      <c r="M17" s="25"/>
      <c r="N17" s="25">
        <v>170.86</v>
      </c>
      <c r="O17" s="25"/>
      <c r="P17" s="25">
        <f t="shared" si="1"/>
        <v>184.135</v>
      </c>
    </row>
    <row r="18" s="2" customFormat="1" ht="18" customHeight="1" spans="1:16">
      <c r="A18" s="15" t="s">
        <v>74</v>
      </c>
      <c r="B18" s="8" t="s">
        <v>73</v>
      </c>
      <c r="C18" s="8" t="s">
        <v>36</v>
      </c>
      <c r="D18" s="4">
        <v>71.2</v>
      </c>
      <c r="E18" s="4">
        <f>6.34+15.12+4.94</f>
        <v>26.4</v>
      </c>
      <c r="F18" s="10">
        <f>6.74</f>
        <v>6.74</v>
      </c>
      <c r="G18" s="10"/>
      <c r="H18" s="10"/>
      <c r="I18" s="10"/>
      <c r="J18" s="8">
        <f t="shared" si="0"/>
        <v>90.86</v>
      </c>
      <c r="K18" s="25">
        <v>31.6</v>
      </c>
      <c r="L18" s="25">
        <v>59.26</v>
      </c>
      <c r="M18" s="25"/>
      <c r="N18" s="25"/>
      <c r="O18" s="25"/>
      <c r="P18" s="25">
        <f t="shared" si="1"/>
        <v>90.86</v>
      </c>
    </row>
    <row r="19" s="2" customFormat="1" ht="18" customHeight="1" spans="1:16">
      <c r="A19" s="13" t="s">
        <v>75</v>
      </c>
      <c r="B19" s="8" t="s">
        <v>73</v>
      </c>
      <c r="C19" s="8" t="s">
        <v>29</v>
      </c>
      <c r="D19" s="4">
        <v>51.02</v>
      </c>
      <c r="E19" s="4">
        <f>3.712+1.2765+20.7</f>
        <v>25.6885</v>
      </c>
      <c r="F19" s="10">
        <f>4.9885</f>
        <v>4.9885</v>
      </c>
      <c r="G19" s="10"/>
      <c r="H19" s="10"/>
      <c r="I19" s="10"/>
      <c r="J19" s="8">
        <f t="shared" si="0"/>
        <v>71.72</v>
      </c>
      <c r="K19" s="25"/>
      <c r="L19" s="25">
        <v>71.72</v>
      </c>
      <c r="M19" s="25"/>
      <c r="N19" s="25"/>
      <c r="O19" s="25"/>
      <c r="P19" s="25">
        <f t="shared" si="1"/>
        <v>71.72</v>
      </c>
    </row>
    <row r="20" s="2" customFormat="1" ht="18" customHeight="1" spans="1:16">
      <c r="A20" s="12" t="s">
        <v>76</v>
      </c>
      <c r="B20" s="14" t="s">
        <v>77</v>
      </c>
      <c r="C20" s="8" t="s">
        <v>36</v>
      </c>
      <c r="D20" s="8">
        <v>41.03745</v>
      </c>
      <c r="E20" s="8">
        <f>3.892+1.5+10.38</f>
        <v>15.772</v>
      </c>
      <c r="F20" s="10"/>
      <c r="G20" s="10">
        <f>0.002</f>
        <v>0.002</v>
      </c>
      <c r="H20" s="10"/>
      <c r="I20" s="10"/>
      <c r="J20" s="8">
        <f t="shared" si="0"/>
        <v>56.80745</v>
      </c>
      <c r="K20" s="25"/>
      <c r="L20" s="25">
        <v>10.38</v>
      </c>
      <c r="M20" s="25"/>
      <c r="N20" s="25">
        <v>46.42745</v>
      </c>
      <c r="O20" s="25"/>
      <c r="P20" s="25">
        <f t="shared" si="1"/>
        <v>56.80745</v>
      </c>
    </row>
    <row r="21" s="2" customFormat="1" ht="18" customHeight="1" spans="1:16">
      <c r="A21" s="13" t="s">
        <v>76</v>
      </c>
      <c r="B21" s="16" t="s">
        <v>78</v>
      </c>
      <c r="C21" s="8" t="s">
        <v>36</v>
      </c>
      <c r="D21" s="8">
        <v>47.94755</v>
      </c>
      <c r="E21" s="8">
        <f>0.56+0.04+1.2+1.89</f>
        <v>3.69</v>
      </c>
      <c r="F21" s="10"/>
      <c r="G21" s="10"/>
      <c r="H21" s="10"/>
      <c r="I21" s="10"/>
      <c r="J21" s="8">
        <f t="shared" si="0"/>
        <v>51.63755</v>
      </c>
      <c r="K21" s="25"/>
      <c r="L21" s="25"/>
      <c r="M21" s="25"/>
      <c r="N21" s="25">
        <v>51.63755</v>
      </c>
      <c r="O21" s="25"/>
      <c r="P21" s="25">
        <f t="shared" si="1"/>
        <v>51.63755</v>
      </c>
    </row>
    <row r="22" s="2" customFormat="1" ht="18" customHeight="1" spans="1:16">
      <c r="A22" s="9" t="s">
        <v>79</v>
      </c>
      <c r="B22" s="16" t="s">
        <v>78</v>
      </c>
      <c r="C22" s="8" t="s">
        <v>29</v>
      </c>
      <c r="D22" s="8">
        <v>0</v>
      </c>
      <c r="E22" s="17">
        <f>2.24</f>
        <v>2.24</v>
      </c>
      <c r="F22" s="10">
        <f>2.24</f>
        <v>2.24</v>
      </c>
      <c r="G22" s="10"/>
      <c r="H22" s="10"/>
      <c r="I22" s="10"/>
      <c r="J22" s="8">
        <f t="shared" si="0"/>
        <v>0</v>
      </c>
      <c r="K22" s="25"/>
      <c r="L22" s="25"/>
      <c r="M22" s="25"/>
      <c r="N22" s="25"/>
      <c r="O22" s="25"/>
      <c r="P22" s="25">
        <f t="shared" si="1"/>
        <v>0</v>
      </c>
    </row>
    <row r="23" s="2" customFormat="1" ht="18" customHeight="1" spans="1:16">
      <c r="A23" s="13" t="s">
        <v>80</v>
      </c>
      <c r="B23" s="14" t="s">
        <v>81</v>
      </c>
      <c r="C23" s="8" t="s">
        <v>36</v>
      </c>
      <c r="D23" s="8">
        <v>35.704</v>
      </c>
      <c r="E23" s="8">
        <f>2.94+2.32+2.631+1.5</f>
        <v>9.391</v>
      </c>
      <c r="F23" s="10"/>
      <c r="G23" s="10"/>
      <c r="H23" s="10"/>
      <c r="I23" s="10"/>
      <c r="J23" s="8">
        <f t="shared" si="0"/>
        <v>45.095</v>
      </c>
      <c r="K23" s="25"/>
      <c r="L23" s="25"/>
      <c r="M23" s="25"/>
      <c r="N23" s="25">
        <v>45.095</v>
      </c>
      <c r="O23" s="25"/>
      <c r="P23" s="25">
        <f t="shared" si="1"/>
        <v>45.095</v>
      </c>
    </row>
    <row r="24" s="2" customFormat="1" ht="18" customHeight="1" spans="1:16">
      <c r="A24" s="13" t="s">
        <v>82</v>
      </c>
      <c r="B24" s="14" t="s">
        <v>83</v>
      </c>
      <c r="C24" s="8" t="s">
        <v>36</v>
      </c>
      <c r="D24" s="8">
        <v>14.53</v>
      </c>
      <c r="E24" s="8">
        <f>0.16</f>
        <v>0.16</v>
      </c>
      <c r="F24" s="10"/>
      <c r="G24" s="10"/>
      <c r="H24" s="10"/>
      <c r="I24" s="10"/>
      <c r="J24" s="8">
        <f t="shared" si="0"/>
        <v>14.69</v>
      </c>
      <c r="K24" s="25"/>
      <c r="L24" s="25"/>
      <c r="M24" s="25"/>
      <c r="N24" s="25">
        <v>14.69</v>
      </c>
      <c r="O24" s="25"/>
      <c r="P24" s="25">
        <f t="shared" si="1"/>
        <v>14.69</v>
      </c>
    </row>
    <row r="25" s="2" customFormat="1" ht="18" customHeight="1" spans="1:16">
      <c r="A25" s="18" t="s">
        <v>84</v>
      </c>
      <c r="B25" s="14" t="s">
        <v>85</v>
      </c>
      <c r="C25" s="8" t="s">
        <v>36</v>
      </c>
      <c r="D25" s="8">
        <v>2.809</v>
      </c>
      <c r="E25" s="8"/>
      <c r="F25" s="10"/>
      <c r="G25" s="10"/>
      <c r="H25" s="10"/>
      <c r="I25" s="10"/>
      <c r="J25" s="8">
        <f t="shared" si="0"/>
        <v>2.809</v>
      </c>
      <c r="K25" s="25"/>
      <c r="L25" s="25"/>
      <c r="M25" s="25"/>
      <c r="N25" s="25">
        <v>2.809</v>
      </c>
      <c r="O25" s="25"/>
      <c r="P25" s="25">
        <f t="shared" si="1"/>
        <v>2.809</v>
      </c>
    </row>
    <row r="26" s="2" customFormat="1" ht="18" customHeight="1" spans="1:16">
      <c r="A26" s="13" t="s">
        <v>76</v>
      </c>
      <c r="B26" s="14" t="s">
        <v>86</v>
      </c>
      <c r="C26" s="8" t="s">
        <v>36</v>
      </c>
      <c r="D26" s="8">
        <v>116.11932</v>
      </c>
      <c r="E26" s="8">
        <f>6.573+0.16+0.138+0.15+2.2235+1.24+3.64</f>
        <v>14.1245</v>
      </c>
      <c r="F26" s="10"/>
      <c r="G26" s="10"/>
      <c r="H26" s="10"/>
      <c r="I26" s="10"/>
      <c r="J26" s="8">
        <f t="shared" si="0"/>
        <v>130.24382</v>
      </c>
      <c r="K26" s="25">
        <v>4.88</v>
      </c>
      <c r="L26" s="25">
        <v>6.42</v>
      </c>
      <c r="M26" s="25"/>
      <c r="N26" s="25">
        <v>118.94382</v>
      </c>
      <c r="O26" s="25"/>
      <c r="P26" s="25">
        <f t="shared" si="1"/>
        <v>130.24382</v>
      </c>
    </row>
    <row r="27" s="2" customFormat="1" ht="18" customHeight="1" spans="1:16">
      <c r="A27" s="13" t="s">
        <v>87</v>
      </c>
      <c r="B27" s="14" t="s">
        <v>86</v>
      </c>
      <c r="C27" s="8" t="s">
        <v>29</v>
      </c>
      <c r="D27" s="8">
        <v>21.204</v>
      </c>
      <c r="E27" s="8">
        <f>0.231+0.36+0.38+0.34+16.6+5.52+8.46+5.72+15.2+8.28+4.18+4.54+3.58</f>
        <v>73.391</v>
      </c>
      <c r="F27" s="10">
        <f>4.06+3.98+8.451+4.06+0.36+0.06+0.34</f>
        <v>21.311</v>
      </c>
      <c r="G27" s="10"/>
      <c r="H27" s="10">
        <f>5.52</f>
        <v>5.52</v>
      </c>
      <c r="I27" s="10"/>
      <c r="J27" s="8">
        <f t="shared" si="0"/>
        <v>67.764</v>
      </c>
      <c r="K27" s="25">
        <f>66.56-40</f>
        <v>26.56</v>
      </c>
      <c r="L27" s="25">
        <v>1.204</v>
      </c>
      <c r="M27" s="25"/>
      <c r="N27" s="25"/>
      <c r="O27" s="25">
        <v>40</v>
      </c>
      <c r="P27" s="25">
        <f t="shared" si="1"/>
        <v>67.764</v>
      </c>
    </row>
    <row r="28" s="2" customFormat="1" ht="18" customHeight="1" spans="1:16">
      <c r="A28" s="19" t="s">
        <v>88</v>
      </c>
      <c r="B28" s="8" t="s">
        <v>89</v>
      </c>
      <c r="C28" s="8" t="s">
        <v>36</v>
      </c>
      <c r="D28" s="8">
        <v>13.746</v>
      </c>
      <c r="E28" s="8">
        <f>0.936+7.187+6.674+1.829</f>
        <v>16.626</v>
      </c>
      <c r="F28" s="10"/>
      <c r="G28" s="10">
        <f>3.3</f>
        <v>3.3</v>
      </c>
      <c r="H28" s="10"/>
      <c r="I28" s="10"/>
      <c r="J28" s="8">
        <f t="shared" si="0"/>
        <v>27.072</v>
      </c>
      <c r="K28" s="25"/>
      <c r="L28" s="25">
        <v>27.072</v>
      </c>
      <c r="M28" s="25"/>
      <c r="N28" s="25"/>
      <c r="O28" s="25"/>
      <c r="P28" s="25">
        <f t="shared" si="1"/>
        <v>27.072</v>
      </c>
    </row>
    <row r="29" s="2" customFormat="1" ht="18" customHeight="1" spans="1:16">
      <c r="A29" s="13" t="s">
        <v>90</v>
      </c>
      <c r="B29" s="20" t="s">
        <v>91</v>
      </c>
      <c r="C29" s="8" t="s">
        <v>36</v>
      </c>
      <c r="D29" s="8">
        <v>73.4475</v>
      </c>
      <c r="E29" s="8">
        <f>0.855+4+8.5785+3.528</f>
        <v>16.9615</v>
      </c>
      <c r="F29" s="10">
        <f>0.146+0.85-0.05</f>
        <v>0.946</v>
      </c>
      <c r="G29" s="10">
        <f>5+26.1</f>
        <v>31.1</v>
      </c>
      <c r="H29" s="10"/>
      <c r="I29" s="10"/>
      <c r="J29" s="8">
        <f t="shared" si="0"/>
        <v>58.363</v>
      </c>
      <c r="K29" s="25"/>
      <c r="L29" s="25">
        <v>58.363</v>
      </c>
      <c r="M29" s="25"/>
      <c r="N29" s="25"/>
      <c r="O29" s="25"/>
      <c r="P29" s="25">
        <f t="shared" si="1"/>
        <v>58.363</v>
      </c>
    </row>
    <row r="30" s="2" customFormat="1" ht="18" customHeight="1" spans="1:16">
      <c r="A30" s="13" t="s">
        <v>92</v>
      </c>
      <c r="B30" s="8" t="s">
        <v>91</v>
      </c>
      <c r="C30" s="8" t="s">
        <v>29</v>
      </c>
      <c r="D30" s="8">
        <v>0</v>
      </c>
      <c r="E30" s="8">
        <f>5.33</f>
        <v>5.33</v>
      </c>
      <c r="F30" s="10">
        <f>5.28+0.05</f>
        <v>5.33</v>
      </c>
      <c r="G30" s="10"/>
      <c r="H30" s="10"/>
      <c r="I30" s="10"/>
      <c r="J30" s="8">
        <f t="shared" si="0"/>
        <v>0</v>
      </c>
      <c r="K30" s="25"/>
      <c r="L30" s="25"/>
      <c r="M30" s="25"/>
      <c r="N30" s="25"/>
      <c r="O30" s="25"/>
      <c r="P30" s="25">
        <f t="shared" si="1"/>
        <v>0</v>
      </c>
    </row>
    <row r="31" s="2" customFormat="1" ht="18" customHeight="1" spans="1:16">
      <c r="A31" s="9" t="s">
        <v>93</v>
      </c>
      <c r="B31" s="8" t="s">
        <v>94</v>
      </c>
      <c r="C31" s="8" t="s">
        <v>36</v>
      </c>
      <c r="D31" s="8">
        <v>36.9</v>
      </c>
      <c r="E31" s="8"/>
      <c r="F31" s="10"/>
      <c r="G31" s="10"/>
      <c r="H31" s="10"/>
      <c r="I31" s="10"/>
      <c r="J31" s="8">
        <f t="shared" si="0"/>
        <v>36.9</v>
      </c>
      <c r="K31" s="25"/>
      <c r="L31" s="25">
        <v>36.9</v>
      </c>
      <c r="M31" s="25"/>
      <c r="N31" s="25"/>
      <c r="O31" s="25"/>
      <c r="P31" s="25">
        <f t="shared" si="1"/>
        <v>36.9</v>
      </c>
    </row>
    <row r="32" s="2" customFormat="1" ht="18" customHeight="1" spans="1:16">
      <c r="A32" s="13" t="s">
        <v>95</v>
      </c>
      <c r="B32" s="14" t="s">
        <v>96</v>
      </c>
      <c r="C32" s="8" t="s">
        <v>29</v>
      </c>
      <c r="D32" s="8">
        <v>2.29</v>
      </c>
      <c r="E32" s="8">
        <f>29.34</f>
        <v>29.34</v>
      </c>
      <c r="F32" s="10">
        <f>12+12.78</f>
        <v>24.78</v>
      </c>
      <c r="G32" s="10"/>
      <c r="H32" s="10"/>
      <c r="I32" s="10"/>
      <c r="J32" s="8">
        <f t="shared" si="0"/>
        <v>6.85</v>
      </c>
      <c r="K32" s="25">
        <f>4.56</f>
        <v>4.56</v>
      </c>
      <c r="L32" s="25">
        <v>2.29</v>
      </c>
      <c r="M32" s="25"/>
      <c r="N32" s="25"/>
      <c r="O32" s="25"/>
      <c r="P32" s="25">
        <f t="shared" si="1"/>
        <v>6.85</v>
      </c>
    </row>
    <row r="33" s="2" customFormat="1" ht="18" customHeight="1" spans="1:16">
      <c r="A33" s="13" t="s">
        <v>97</v>
      </c>
      <c r="B33" s="14" t="s">
        <v>96</v>
      </c>
      <c r="C33" s="8" t="s">
        <v>36</v>
      </c>
      <c r="D33" s="8">
        <v>19.0225</v>
      </c>
      <c r="E33" s="8">
        <f>30.4</f>
        <v>30.4</v>
      </c>
      <c r="F33" s="10"/>
      <c r="G33" s="10"/>
      <c r="H33" s="10"/>
      <c r="I33" s="10"/>
      <c r="J33" s="8">
        <f t="shared" si="0"/>
        <v>49.4225</v>
      </c>
      <c r="K33" s="25">
        <f>11.2025</f>
        <v>11.2025</v>
      </c>
      <c r="L33" s="25">
        <v>38.22</v>
      </c>
      <c r="M33" s="25"/>
      <c r="N33" s="25"/>
      <c r="O33" s="25"/>
      <c r="P33" s="25">
        <f t="shared" si="1"/>
        <v>49.4225</v>
      </c>
    </row>
    <row r="34" s="2" customFormat="1" ht="18" customHeight="1" spans="1:16">
      <c r="A34" s="13" t="s">
        <v>98</v>
      </c>
      <c r="B34" s="14" t="s">
        <v>96</v>
      </c>
      <c r="C34" s="8" t="s">
        <v>59</v>
      </c>
      <c r="D34" s="8">
        <v>468.099</v>
      </c>
      <c r="E34" s="8">
        <f>31.6+16.24+29.58+28.16</f>
        <v>105.58</v>
      </c>
      <c r="F34" s="10">
        <f>4+3.7+8+3+11.02+3+6+6.82+3+6</f>
        <v>54.54</v>
      </c>
      <c r="G34" s="10"/>
      <c r="H34" s="10"/>
      <c r="I34" s="10"/>
      <c r="J34" s="8">
        <f t="shared" si="0"/>
        <v>519.139</v>
      </c>
      <c r="K34" s="25">
        <f>519.139-40</f>
        <v>479.139</v>
      </c>
      <c r="L34" s="25"/>
      <c r="M34" s="25"/>
      <c r="N34" s="25"/>
      <c r="O34" s="25">
        <v>40</v>
      </c>
      <c r="P34" s="25">
        <f t="shared" si="1"/>
        <v>519.139</v>
      </c>
    </row>
    <row r="35" s="2" customFormat="1" ht="18" customHeight="1" spans="1:16">
      <c r="A35" s="12" t="s">
        <v>97</v>
      </c>
      <c r="B35" s="14" t="s">
        <v>99</v>
      </c>
      <c r="C35" s="8" t="s">
        <v>36</v>
      </c>
      <c r="D35" s="8">
        <v>462.05</v>
      </c>
      <c r="E35" s="8">
        <f>47.38+50.96+52.2+50.42</f>
        <v>200.96</v>
      </c>
      <c r="F35" s="10">
        <f>4.89+10+18+20.16+10+8+9+10+13.36</f>
        <v>103.41</v>
      </c>
      <c r="G35" s="10"/>
      <c r="H35" s="10"/>
      <c r="I35" s="10"/>
      <c r="J35" s="8">
        <f t="shared" si="0"/>
        <v>559.6</v>
      </c>
      <c r="K35" s="25"/>
      <c r="L35" s="25">
        <v>61</v>
      </c>
      <c r="M35" s="25"/>
      <c r="N35" s="25">
        <v>498.6</v>
      </c>
      <c r="O35" s="25"/>
      <c r="P35" s="25">
        <f t="shared" si="1"/>
        <v>559.6</v>
      </c>
    </row>
    <row r="36" s="2" customFormat="1" ht="18" customHeight="1" spans="1:16">
      <c r="A36" s="13" t="s">
        <v>60</v>
      </c>
      <c r="B36" s="14" t="s">
        <v>100</v>
      </c>
      <c r="C36" s="8" t="s">
        <v>29</v>
      </c>
      <c r="D36" s="8">
        <v>34.005</v>
      </c>
      <c r="E36" s="8">
        <f>8.775+10.641</f>
        <v>19.416</v>
      </c>
      <c r="F36" s="10">
        <f>17.434+16.571+8.775+10.641</f>
        <v>53.421</v>
      </c>
      <c r="G36" s="10"/>
      <c r="H36" s="10"/>
      <c r="I36" s="10"/>
      <c r="J36" s="8">
        <f t="shared" si="0"/>
        <v>0</v>
      </c>
      <c r="K36" s="25"/>
      <c r="L36" s="25"/>
      <c r="M36" s="25"/>
      <c r="N36" s="25"/>
      <c r="O36" s="25"/>
      <c r="P36" s="25">
        <f t="shared" si="1"/>
        <v>0</v>
      </c>
    </row>
    <row r="37" s="2" customFormat="1" ht="18" customHeight="1" spans="1:16">
      <c r="A37" s="13" t="s">
        <v>60</v>
      </c>
      <c r="B37" s="14" t="s">
        <v>100</v>
      </c>
      <c r="C37" s="8" t="s">
        <v>59</v>
      </c>
      <c r="D37" s="8">
        <v>0</v>
      </c>
      <c r="E37" s="8">
        <f>0.306+0.314</f>
        <v>0.62</v>
      </c>
      <c r="F37" s="10">
        <f>0.306+0.314</f>
        <v>0.62</v>
      </c>
      <c r="G37" s="10"/>
      <c r="H37" s="10"/>
      <c r="I37" s="10"/>
      <c r="J37" s="8">
        <f t="shared" si="0"/>
        <v>0</v>
      </c>
      <c r="K37" s="25"/>
      <c r="L37" s="25"/>
      <c r="M37" s="25"/>
      <c r="N37" s="25"/>
      <c r="O37" s="25"/>
      <c r="P37" s="25">
        <f t="shared" si="1"/>
        <v>0</v>
      </c>
    </row>
    <row r="38" s="2" customFormat="1" ht="18" customHeight="1" spans="1:16">
      <c r="A38" s="21" t="s">
        <v>101</v>
      </c>
      <c r="B38" s="14" t="s">
        <v>102</v>
      </c>
      <c r="C38" s="8" t="s">
        <v>29</v>
      </c>
      <c r="D38" s="8">
        <v>179.2775</v>
      </c>
      <c r="E38" s="8">
        <f>12.4+32.676+10.68+13.06+8.5+20.882+58.5805+17.378+0.9+15.2915+40.4735+28.089+7.5+23.5045+30.2335+13.02+9.46</f>
        <v>342.6285</v>
      </c>
      <c r="F38" s="8">
        <f>23.8365+33.371+16.676+24.5+10.78+14.32+6.66+36.62+106.4255+34.029+23.5045+22.4335</f>
        <v>353.156</v>
      </c>
      <c r="G38" s="8"/>
      <c r="H38" s="8"/>
      <c r="I38" s="8"/>
      <c r="J38" s="8">
        <f t="shared" si="0"/>
        <v>168.75</v>
      </c>
      <c r="K38" s="25">
        <f>168.75-140</f>
        <v>28.75</v>
      </c>
      <c r="L38" s="25"/>
      <c r="M38" s="25"/>
      <c r="N38" s="25"/>
      <c r="O38" s="25">
        <v>140</v>
      </c>
      <c r="P38" s="25">
        <f t="shared" si="1"/>
        <v>168.75</v>
      </c>
    </row>
    <row r="39" s="2" customFormat="1" ht="18" customHeight="1" spans="1:16">
      <c r="A39" s="21" t="s">
        <v>60</v>
      </c>
      <c r="B39" s="14" t="s">
        <v>102</v>
      </c>
      <c r="C39" s="8" t="s">
        <v>59</v>
      </c>
      <c r="D39" s="8">
        <v>0</v>
      </c>
      <c r="E39" s="8">
        <f>0.151</f>
        <v>0.151</v>
      </c>
      <c r="F39" s="8">
        <f>0.151</f>
        <v>0.151</v>
      </c>
      <c r="G39" s="8"/>
      <c r="H39" s="8"/>
      <c r="I39" s="8"/>
      <c r="J39" s="8">
        <f t="shared" si="0"/>
        <v>0</v>
      </c>
      <c r="K39" s="25"/>
      <c r="L39" s="25"/>
      <c r="M39" s="25"/>
      <c r="N39" s="25"/>
      <c r="O39" s="25"/>
      <c r="P39" s="25">
        <f t="shared" si="1"/>
        <v>0</v>
      </c>
    </row>
    <row r="40" s="2" customFormat="1" ht="18" customHeight="1" spans="1:16">
      <c r="A40" s="22" t="s">
        <v>103</v>
      </c>
      <c r="B40" s="8" t="s">
        <v>104</v>
      </c>
      <c r="C40" s="8" t="s">
        <v>29</v>
      </c>
      <c r="D40" s="14">
        <v>0</v>
      </c>
      <c r="E40" s="23">
        <f>0.005+0.3</f>
        <v>0.305</v>
      </c>
      <c r="F40" s="10">
        <f>0.305</f>
        <v>0.305</v>
      </c>
      <c r="G40" s="10"/>
      <c r="H40" s="10"/>
      <c r="I40" s="10"/>
      <c r="J40" s="8">
        <f t="shared" si="0"/>
        <v>0</v>
      </c>
      <c r="K40" s="25"/>
      <c r="L40" s="25"/>
      <c r="M40" s="25"/>
      <c r="N40" s="25"/>
      <c r="O40" s="25"/>
      <c r="P40" s="25">
        <f t="shared" si="1"/>
        <v>0</v>
      </c>
    </row>
    <row r="41" s="2" customFormat="1" ht="18" customHeight="1" spans="1:16">
      <c r="A41" s="12" t="s">
        <v>105</v>
      </c>
      <c r="B41" s="8" t="s">
        <v>104</v>
      </c>
      <c r="C41" s="8" t="s">
        <v>36</v>
      </c>
      <c r="D41" s="8">
        <v>2.4</v>
      </c>
      <c r="E41" s="8"/>
      <c r="F41" s="8">
        <f>2.4</f>
        <v>2.4</v>
      </c>
      <c r="G41" s="10"/>
      <c r="H41" s="10"/>
      <c r="I41" s="10"/>
      <c r="J41" s="8">
        <f t="shared" si="0"/>
        <v>0</v>
      </c>
      <c r="K41" s="25"/>
      <c r="L41" s="25"/>
      <c r="M41" s="25"/>
      <c r="N41" s="25"/>
      <c r="O41" s="25"/>
      <c r="P41" s="25">
        <f t="shared" si="1"/>
        <v>0</v>
      </c>
    </row>
    <row r="42" s="2" customFormat="1" ht="18" customHeight="1" spans="1:16">
      <c r="A42" s="13" t="s">
        <v>106</v>
      </c>
      <c r="B42" s="8" t="s">
        <v>107</v>
      </c>
      <c r="C42" s="8" t="s">
        <v>29</v>
      </c>
      <c r="D42" s="8">
        <v>0</v>
      </c>
      <c r="E42" s="8">
        <f>0.62</f>
        <v>0.62</v>
      </c>
      <c r="F42" s="8">
        <f>0.62</f>
        <v>0.62</v>
      </c>
      <c r="G42" s="10"/>
      <c r="H42" s="10"/>
      <c r="I42" s="10"/>
      <c r="J42" s="8">
        <f t="shared" si="0"/>
        <v>0</v>
      </c>
      <c r="K42" s="25"/>
      <c r="L42" s="25"/>
      <c r="M42" s="25"/>
      <c r="N42" s="25"/>
      <c r="O42" s="25"/>
      <c r="P42" s="25">
        <f t="shared" si="1"/>
        <v>0</v>
      </c>
    </row>
    <row r="43" s="2" customFormat="1" ht="18" customHeight="1" spans="1:16">
      <c r="A43" s="9" t="s">
        <v>108</v>
      </c>
      <c r="B43" s="8" t="s">
        <v>109</v>
      </c>
      <c r="C43" s="8" t="s">
        <v>36</v>
      </c>
      <c r="D43" s="8">
        <v>0</v>
      </c>
      <c r="E43" s="8">
        <f>0.14</f>
        <v>0.14</v>
      </c>
      <c r="F43" s="23">
        <f>0.14</f>
        <v>0.14</v>
      </c>
      <c r="G43" s="10"/>
      <c r="H43" s="10"/>
      <c r="I43" s="10"/>
      <c r="J43" s="8">
        <f t="shared" si="0"/>
        <v>0</v>
      </c>
      <c r="K43" s="25"/>
      <c r="L43" s="25"/>
      <c r="M43" s="25"/>
      <c r="N43" s="25"/>
      <c r="O43" s="25"/>
      <c r="P43" s="25">
        <f t="shared" si="1"/>
        <v>0</v>
      </c>
    </row>
    <row r="44" s="2" customFormat="1" ht="18" customHeight="1" spans="1:16">
      <c r="A44" s="15" t="s">
        <v>110</v>
      </c>
      <c r="B44" s="8" t="s">
        <v>111</v>
      </c>
      <c r="C44" s="8" t="s">
        <v>29</v>
      </c>
      <c r="D44" s="8">
        <v>7.62000000000002</v>
      </c>
      <c r="E44" s="8">
        <f>15.08+5.16+6.68+3.74+7.42+12.84+3.86+8.04+3.1</f>
        <v>65.92</v>
      </c>
      <c r="F44" s="10">
        <f>5.16+10.88+11.84+4.2+3.74+7.42+16.7</f>
        <v>59.94</v>
      </c>
      <c r="G44" s="10"/>
      <c r="H44" s="10"/>
      <c r="I44" s="10"/>
      <c r="J44" s="8">
        <f t="shared" si="0"/>
        <v>13.6</v>
      </c>
      <c r="K44" s="25">
        <f>13.6-13.6</f>
        <v>0</v>
      </c>
      <c r="L44" s="25"/>
      <c r="M44" s="25"/>
      <c r="N44" s="25"/>
      <c r="O44" s="25">
        <v>13.6</v>
      </c>
      <c r="P44" s="25">
        <f t="shared" si="1"/>
        <v>13.6</v>
      </c>
    </row>
    <row r="45" s="2" customFormat="1" ht="18" customHeight="1" spans="1:16">
      <c r="A45" s="13" t="s">
        <v>112</v>
      </c>
      <c r="B45" s="4" t="s">
        <v>113</v>
      </c>
      <c r="C45" s="8" t="s">
        <v>29</v>
      </c>
      <c r="D45" s="8">
        <v>0</v>
      </c>
      <c r="E45" s="8">
        <f>0.615+1.8</f>
        <v>2.415</v>
      </c>
      <c r="F45" s="10">
        <f>0.615</f>
        <v>0.615</v>
      </c>
      <c r="G45" s="10"/>
      <c r="H45" s="10"/>
      <c r="I45" s="10"/>
      <c r="J45" s="8">
        <f t="shared" si="0"/>
        <v>1.8</v>
      </c>
      <c r="K45" s="25">
        <v>1.8</v>
      </c>
      <c r="L45" s="25"/>
      <c r="M45" s="25"/>
      <c r="N45" s="25"/>
      <c r="O45" s="25"/>
      <c r="P45" s="25">
        <f t="shared" si="1"/>
        <v>1.8</v>
      </c>
    </row>
    <row r="46" s="2" customFormat="1" ht="18" customHeight="1" spans="1:16">
      <c r="A46" s="13" t="s">
        <v>114</v>
      </c>
      <c r="B46" s="4" t="s">
        <v>115</v>
      </c>
      <c r="C46" s="8" t="s">
        <v>59</v>
      </c>
      <c r="D46" s="8">
        <v>0</v>
      </c>
      <c r="E46" s="8">
        <f>4.296</f>
        <v>4.296</v>
      </c>
      <c r="F46" s="10"/>
      <c r="G46" s="10"/>
      <c r="H46" s="10"/>
      <c r="I46" s="10"/>
      <c r="J46" s="8">
        <f t="shared" si="0"/>
        <v>4.296</v>
      </c>
      <c r="K46" s="25">
        <v>4.296</v>
      </c>
      <c r="L46" s="25"/>
      <c r="M46" s="25"/>
      <c r="N46" s="25"/>
      <c r="O46" s="25"/>
      <c r="P46" s="25">
        <f t="shared" si="1"/>
        <v>4.296</v>
      </c>
    </row>
    <row r="47" s="2" customFormat="1" ht="18" customHeight="1" spans="1:16">
      <c r="A47" s="9" t="s">
        <v>116</v>
      </c>
      <c r="B47" s="4" t="s">
        <v>117</v>
      </c>
      <c r="C47" s="8" t="s">
        <v>36</v>
      </c>
      <c r="D47" s="8">
        <v>17.52</v>
      </c>
      <c r="E47" s="8"/>
      <c r="F47" s="10"/>
      <c r="G47" s="10"/>
      <c r="H47" s="10"/>
      <c r="I47" s="10"/>
      <c r="J47" s="8">
        <f t="shared" si="0"/>
        <v>17.52</v>
      </c>
      <c r="K47" s="25">
        <v>17.52</v>
      </c>
      <c r="L47" s="25"/>
      <c r="M47" s="25"/>
      <c r="N47" s="25"/>
      <c r="O47" s="25"/>
      <c r="P47" s="25">
        <f t="shared" si="1"/>
        <v>17.52</v>
      </c>
    </row>
    <row r="48" s="2" customFormat="1" ht="18" customHeight="1" spans="1:16">
      <c r="A48" s="13" t="s">
        <v>118</v>
      </c>
      <c r="B48" s="4" t="s">
        <v>117</v>
      </c>
      <c r="C48" s="8" t="s">
        <v>59</v>
      </c>
      <c r="D48" s="8">
        <v>0</v>
      </c>
      <c r="E48" s="8">
        <f>1.558</f>
        <v>1.558</v>
      </c>
      <c r="F48" s="10">
        <f>1.558</f>
        <v>1.558</v>
      </c>
      <c r="G48" s="10"/>
      <c r="H48" s="10"/>
      <c r="I48" s="10"/>
      <c r="J48" s="8">
        <f t="shared" si="0"/>
        <v>0</v>
      </c>
      <c r="K48" s="25"/>
      <c r="L48" s="25"/>
      <c r="M48" s="25"/>
      <c r="N48" s="25"/>
      <c r="O48" s="25"/>
      <c r="P48" s="25">
        <f t="shared" si="1"/>
        <v>0</v>
      </c>
    </row>
    <row r="49" s="2" customFormat="1" ht="18" customHeight="1" spans="1:16">
      <c r="A49" s="9" t="s">
        <v>116</v>
      </c>
      <c r="B49" s="4" t="s">
        <v>117</v>
      </c>
      <c r="C49" s="8" t="s">
        <v>29</v>
      </c>
      <c r="D49" s="8">
        <v>1.42</v>
      </c>
      <c r="E49" s="8"/>
      <c r="F49" s="10"/>
      <c r="G49" s="10"/>
      <c r="H49" s="10"/>
      <c r="I49" s="10"/>
      <c r="J49" s="8">
        <f t="shared" si="0"/>
        <v>1.42</v>
      </c>
      <c r="K49" s="25">
        <v>1.42</v>
      </c>
      <c r="L49" s="25"/>
      <c r="M49" s="25"/>
      <c r="N49" s="25"/>
      <c r="O49" s="25"/>
      <c r="P49" s="25">
        <f t="shared" si="1"/>
        <v>1.42</v>
      </c>
    </row>
    <row r="50" s="2" customFormat="1" ht="18" customHeight="1" spans="1:16">
      <c r="A50" s="9" t="s">
        <v>112</v>
      </c>
      <c r="B50" s="4" t="s">
        <v>119</v>
      </c>
      <c r="C50" s="8" t="s">
        <v>29</v>
      </c>
      <c r="D50" s="8">
        <v>0</v>
      </c>
      <c r="E50" s="8">
        <f>0.5</f>
        <v>0.5</v>
      </c>
      <c r="F50" s="8">
        <f>0.5</f>
        <v>0.5</v>
      </c>
      <c r="G50" s="8"/>
      <c r="H50" s="8"/>
      <c r="I50" s="8"/>
      <c r="J50" s="8">
        <f t="shared" si="0"/>
        <v>0</v>
      </c>
      <c r="K50" s="25"/>
      <c r="L50" s="25"/>
      <c r="M50" s="25"/>
      <c r="N50" s="25"/>
      <c r="O50" s="25"/>
      <c r="P50" s="25">
        <f t="shared" si="1"/>
        <v>0</v>
      </c>
    </row>
    <row r="51" s="2" customFormat="1" ht="18" customHeight="1" spans="1:16">
      <c r="A51" s="13" t="s">
        <v>120</v>
      </c>
      <c r="B51" s="4" t="s">
        <v>121</v>
      </c>
      <c r="C51" s="8" t="s">
        <v>36</v>
      </c>
      <c r="D51" s="8">
        <v>0</v>
      </c>
      <c r="E51" s="8">
        <f>1.36</f>
        <v>1.36</v>
      </c>
      <c r="F51" s="8">
        <f>1.36</f>
        <v>1.36</v>
      </c>
      <c r="G51" s="8"/>
      <c r="H51" s="8"/>
      <c r="I51" s="8"/>
      <c r="J51" s="8">
        <f t="shared" si="0"/>
        <v>0</v>
      </c>
      <c r="K51" s="25"/>
      <c r="L51" s="25"/>
      <c r="M51" s="25"/>
      <c r="N51" s="25"/>
      <c r="O51" s="25"/>
      <c r="P51" s="25">
        <f t="shared" si="1"/>
        <v>0</v>
      </c>
    </row>
    <row r="52" s="2" customFormat="1" ht="18" customHeight="1" spans="1:16">
      <c r="A52" s="13" t="s">
        <v>122</v>
      </c>
      <c r="B52" s="4" t="s">
        <v>123</v>
      </c>
      <c r="C52" s="8" t="s">
        <v>36</v>
      </c>
      <c r="D52" s="8">
        <v>9.66</v>
      </c>
      <c r="E52" s="8"/>
      <c r="F52" s="10">
        <f>4</f>
        <v>4</v>
      </c>
      <c r="G52" s="10">
        <v>5.66</v>
      </c>
      <c r="H52" s="10"/>
      <c r="I52" s="10"/>
      <c r="J52" s="8">
        <f t="shared" si="0"/>
        <v>0</v>
      </c>
      <c r="K52" s="25"/>
      <c r="L52" s="25"/>
      <c r="M52" s="25"/>
      <c r="N52" s="25"/>
      <c r="O52" s="25"/>
      <c r="P52" s="25">
        <f t="shared" si="1"/>
        <v>0</v>
      </c>
    </row>
    <row r="53" s="2" customFormat="1" ht="18" customHeight="1" spans="1:16">
      <c r="A53" s="13" t="s">
        <v>124</v>
      </c>
      <c r="B53" s="4" t="s">
        <v>125</v>
      </c>
      <c r="C53" s="8" t="s">
        <v>59</v>
      </c>
      <c r="D53" s="8">
        <v>2.88</v>
      </c>
      <c r="E53" s="8"/>
      <c r="F53" s="10">
        <f>2.88</f>
        <v>2.88</v>
      </c>
      <c r="G53" s="10"/>
      <c r="H53" s="10"/>
      <c r="I53" s="10"/>
      <c r="J53" s="8">
        <f t="shared" si="0"/>
        <v>0</v>
      </c>
      <c r="K53" s="25"/>
      <c r="L53" s="25"/>
      <c r="M53" s="25"/>
      <c r="N53" s="25"/>
      <c r="O53" s="25"/>
      <c r="P53" s="25">
        <f t="shared" si="1"/>
        <v>0</v>
      </c>
    </row>
    <row r="54" s="2" customFormat="1" ht="18" customHeight="1" spans="1:16">
      <c r="A54" s="13" t="s">
        <v>126</v>
      </c>
      <c r="B54" s="8" t="s">
        <v>127</v>
      </c>
      <c r="C54" s="8" t="s">
        <v>29</v>
      </c>
      <c r="D54" s="8">
        <v>24.4225</v>
      </c>
      <c r="E54" s="8">
        <f>0.507+4.469+4.8</f>
        <v>9.776</v>
      </c>
      <c r="F54" s="10">
        <f>18.84+5.5825+0.507+4.469</f>
        <v>29.3985</v>
      </c>
      <c r="G54" s="10"/>
      <c r="H54" s="10"/>
      <c r="I54" s="10"/>
      <c r="J54" s="8">
        <f t="shared" si="0"/>
        <v>4.79999999999999</v>
      </c>
      <c r="K54" s="25"/>
      <c r="L54" s="25">
        <v>4.8</v>
      </c>
      <c r="M54" s="25"/>
      <c r="N54" s="25"/>
      <c r="O54" s="25"/>
      <c r="P54" s="25">
        <f t="shared" si="1"/>
        <v>4.8</v>
      </c>
    </row>
    <row r="55" s="2" customFormat="1" ht="18" customHeight="1" spans="1:16">
      <c r="A55" s="12" t="s">
        <v>128</v>
      </c>
      <c r="B55" s="8" t="s">
        <v>127</v>
      </c>
      <c r="C55" s="8" t="s">
        <v>36</v>
      </c>
      <c r="D55" s="8">
        <v>2.48</v>
      </c>
      <c r="E55" s="8">
        <f>0.703+2.348</f>
        <v>3.051</v>
      </c>
      <c r="F55" s="8">
        <f>0.703</f>
        <v>0.703</v>
      </c>
      <c r="G55" s="8"/>
      <c r="H55" s="8"/>
      <c r="I55" s="8"/>
      <c r="J55" s="8">
        <f t="shared" si="0"/>
        <v>4.828</v>
      </c>
      <c r="K55" s="25"/>
      <c r="L55" s="25">
        <v>4.828</v>
      </c>
      <c r="M55" s="25"/>
      <c r="N55" s="25"/>
      <c r="O55" s="25"/>
      <c r="P55" s="25">
        <f t="shared" si="1"/>
        <v>4.828</v>
      </c>
    </row>
    <row r="56" s="2" customFormat="1" ht="18" customHeight="1" spans="1:16">
      <c r="A56" s="22" t="s">
        <v>106</v>
      </c>
      <c r="B56" s="7" t="s">
        <v>129</v>
      </c>
      <c r="C56" s="8" t="s">
        <v>36</v>
      </c>
      <c r="D56" s="8">
        <v>25.58</v>
      </c>
      <c r="E56" s="8"/>
      <c r="F56" s="10"/>
      <c r="G56" s="10">
        <f>25.58</f>
        <v>25.58</v>
      </c>
      <c r="H56" s="10"/>
      <c r="I56" s="10"/>
      <c r="J56" s="8">
        <f t="shared" si="0"/>
        <v>0</v>
      </c>
      <c r="K56" s="25"/>
      <c r="L56" s="25"/>
      <c r="M56" s="25"/>
      <c r="N56" s="25"/>
      <c r="O56" s="25"/>
      <c r="P56" s="25">
        <f t="shared" si="1"/>
        <v>0</v>
      </c>
    </row>
    <row r="57" s="2" customFormat="1" ht="18" customHeight="1" spans="1:16">
      <c r="A57" s="22" t="s">
        <v>106</v>
      </c>
      <c r="B57" s="7" t="s">
        <v>129</v>
      </c>
      <c r="C57" s="8" t="s">
        <v>29</v>
      </c>
      <c r="D57" s="8">
        <v>0</v>
      </c>
      <c r="E57" s="8">
        <f>13.51</f>
        <v>13.51</v>
      </c>
      <c r="F57" s="10">
        <f>13.51</f>
        <v>13.51</v>
      </c>
      <c r="G57" s="10"/>
      <c r="H57" s="10"/>
      <c r="I57" s="10"/>
      <c r="J57" s="8">
        <f t="shared" si="0"/>
        <v>0</v>
      </c>
      <c r="K57" s="25"/>
      <c r="L57" s="25"/>
      <c r="M57" s="25"/>
      <c r="N57" s="25"/>
      <c r="O57" s="25"/>
      <c r="P57" s="25">
        <f t="shared" si="1"/>
        <v>0</v>
      </c>
    </row>
    <row r="58" s="2" customFormat="1" ht="18" customHeight="1" spans="1:16">
      <c r="A58" s="22" t="s">
        <v>130</v>
      </c>
      <c r="B58" s="8" t="s">
        <v>131</v>
      </c>
      <c r="C58" s="8" t="s">
        <v>36</v>
      </c>
      <c r="D58" s="8">
        <v>16.56</v>
      </c>
      <c r="E58" s="8">
        <f>13.86</f>
        <v>13.86</v>
      </c>
      <c r="F58" s="10"/>
      <c r="G58" s="10">
        <f>16.56</f>
        <v>16.56</v>
      </c>
      <c r="H58" s="10"/>
      <c r="I58" s="10"/>
      <c r="J58" s="8">
        <f t="shared" si="0"/>
        <v>13.86</v>
      </c>
      <c r="K58" s="25"/>
      <c r="L58" s="25">
        <v>13.86</v>
      </c>
      <c r="M58" s="25"/>
      <c r="N58" s="25"/>
      <c r="O58" s="25"/>
      <c r="P58" s="25">
        <f t="shared" si="1"/>
        <v>13.86</v>
      </c>
    </row>
    <row r="59" s="2" customFormat="1" ht="18" customHeight="1" spans="1:16">
      <c r="A59" s="22" t="s">
        <v>132</v>
      </c>
      <c r="B59" s="8" t="s">
        <v>131</v>
      </c>
      <c r="C59" s="8" t="s">
        <v>59</v>
      </c>
      <c r="D59" s="8">
        <v>16.84</v>
      </c>
      <c r="E59" s="8"/>
      <c r="F59" s="10">
        <f>8+8.84</f>
        <v>16.84</v>
      </c>
      <c r="G59" s="10"/>
      <c r="H59" s="10"/>
      <c r="I59" s="10"/>
      <c r="J59" s="8">
        <f t="shared" si="0"/>
        <v>0</v>
      </c>
      <c r="K59" s="25"/>
      <c r="L59" s="25"/>
      <c r="M59" s="25"/>
      <c r="N59" s="25"/>
      <c r="O59" s="25"/>
      <c r="P59" s="25">
        <f t="shared" si="1"/>
        <v>0</v>
      </c>
    </row>
    <row r="60" s="2" customFormat="1" ht="18" customHeight="1" spans="1:16">
      <c r="A60" s="24" t="s">
        <v>133</v>
      </c>
      <c r="B60" s="8" t="s">
        <v>134</v>
      </c>
      <c r="C60" s="8" t="s">
        <v>36</v>
      </c>
      <c r="D60" s="8">
        <v>231.9</v>
      </c>
      <c r="E60" s="8"/>
      <c r="F60" s="10"/>
      <c r="G60" s="10">
        <f>25.1</f>
        <v>25.1</v>
      </c>
      <c r="H60" s="10"/>
      <c r="I60" s="10"/>
      <c r="J60" s="8">
        <f t="shared" si="0"/>
        <v>206.8</v>
      </c>
      <c r="K60" s="25"/>
      <c r="L60" s="25"/>
      <c r="M60" s="25"/>
      <c r="N60" s="25">
        <v>206.8</v>
      </c>
      <c r="O60" s="25"/>
      <c r="P60" s="25">
        <f t="shared" si="1"/>
        <v>206.8</v>
      </c>
    </row>
    <row r="61" s="2" customFormat="1" ht="18" customHeight="1" spans="1:16">
      <c r="A61" s="12" t="s">
        <v>135</v>
      </c>
      <c r="B61" s="14" t="s">
        <v>136</v>
      </c>
      <c r="C61" s="8" t="s">
        <v>29</v>
      </c>
      <c r="D61" s="8">
        <v>132.85895</v>
      </c>
      <c r="E61" s="8">
        <f>15.415+12.021+18.1224+24.618+21.5174+10.687+20.536+2.16+17.334+15.08+23.853+21.1635+20.35885+10.565+9.419+13.134+16.18+12.5025+17.818+2.2+8.423</f>
        <v>313.10765</v>
      </c>
      <c r="F61" s="10">
        <f>4+23.36445+12.01+13.925+20.9434+17.4365+46.7402+24.8962+11.017+29.20435+32.973+5.654+19.9</f>
        <v>262.0641</v>
      </c>
      <c r="G61" s="10"/>
      <c r="H61" s="10">
        <f>9.569+14.503+6.983</f>
        <v>31.055</v>
      </c>
      <c r="I61" s="10"/>
      <c r="J61" s="8">
        <f t="shared" si="0"/>
        <v>152.8475</v>
      </c>
      <c r="K61" s="25">
        <f>151.8055-60</f>
        <v>91.8055</v>
      </c>
      <c r="L61" s="25">
        <v>1.042</v>
      </c>
      <c r="M61" s="25"/>
      <c r="N61" s="25"/>
      <c r="O61" s="25">
        <v>60</v>
      </c>
      <c r="P61" s="25">
        <f t="shared" si="1"/>
        <v>152.8475</v>
      </c>
    </row>
    <row r="62" s="2" customFormat="1" ht="18" customHeight="1" spans="1:16">
      <c r="A62" s="13" t="s">
        <v>137</v>
      </c>
      <c r="B62" s="14" t="s">
        <v>138</v>
      </c>
      <c r="C62" s="8" t="s">
        <v>29</v>
      </c>
      <c r="D62" s="8">
        <v>0</v>
      </c>
      <c r="E62" s="8">
        <f>0.381+0.276+0.281</f>
        <v>0.938</v>
      </c>
      <c r="F62" s="10">
        <f>0.381+0.276</f>
        <v>0.657</v>
      </c>
      <c r="G62" s="10"/>
      <c r="H62" s="10"/>
      <c r="I62" s="10"/>
      <c r="J62" s="8">
        <f t="shared" si="0"/>
        <v>0.281</v>
      </c>
      <c r="K62" s="25">
        <v>0.281</v>
      </c>
      <c r="L62" s="25"/>
      <c r="M62" s="25"/>
      <c r="N62" s="25"/>
      <c r="O62" s="25"/>
      <c r="P62" s="25">
        <f t="shared" si="1"/>
        <v>0.281</v>
      </c>
    </row>
    <row r="63" s="2" customFormat="1" ht="18" customHeight="1" spans="1:16">
      <c r="A63" s="12" t="s">
        <v>106</v>
      </c>
      <c r="B63" s="14" t="s">
        <v>139</v>
      </c>
      <c r="C63" s="8" t="s">
        <v>59</v>
      </c>
      <c r="D63" s="8">
        <v>0</v>
      </c>
      <c r="E63" s="8">
        <f>3</f>
        <v>3</v>
      </c>
      <c r="F63" s="10">
        <f>3</f>
        <v>3</v>
      </c>
      <c r="G63" s="10"/>
      <c r="H63" s="10"/>
      <c r="I63" s="10"/>
      <c r="J63" s="8">
        <f t="shared" si="0"/>
        <v>0</v>
      </c>
      <c r="K63" s="25"/>
      <c r="L63" s="25"/>
      <c r="M63" s="25"/>
      <c r="N63" s="25"/>
      <c r="O63" s="25"/>
      <c r="P63" s="25">
        <f t="shared" si="1"/>
        <v>0</v>
      </c>
    </row>
    <row r="64" s="2" customFormat="1" ht="18" customHeight="1" spans="1:16">
      <c r="A64" s="12" t="s">
        <v>140</v>
      </c>
      <c r="B64" s="8" t="s">
        <v>141</v>
      </c>
      <c r="C64" s="8" t="s">
        <v>29</v>
      </c>
      <c r="D64" s="8">
        <v>0.00299999999999656</v>
      </c>
      <c r="E64" s="8">
        <f>3.26+0.892+0.203+0.1+1.48+0.68+0.028+20.34+0.446</f>
        <v>27.429</v>
      </c>
      <c r="F64" s="8">
        <f>0.003+3.26+0.892+0.203+1.58+0.68</f>
        <v>6.618</v>
      </c>
      <c r="G64" s="8"/>
      <c r="H64" s="8"/>
      <c r="I64" s="8"/>
      <c r="J64" s="8">
        <f t="shared" si="0"/>
        <v>20.814</v>
      </c>
      <c r="K64" s="25"/>
      <c r="L64" s="25">
        <v>20.814</v>
      </c>
      <c r="M64" s="25"/>
      <c r="N64" s="25"/>
      <c r="O64" s="25"/>
      <c r="P64" s="25">
        <f t="shared" si="1"/>
        <v>20.814</v>
      </c>
    </row>
    <row r="65" s="2" customFormat="1" ht="18" customHeight="1" spans="1:16">
      <c r="A65" s="13" t="s">
        <v>142</v>
      </c>
      <c r="B65" s="14" t="s">
        <v>143</v>
      </c>
      <c r="C65" s="8" t="s">
        <v>29</v>
      </c>
      <c r="D65" s="8">
        <v>0</v>
      </c>
      <c r="E65" s="8">
        <f>1.761+0.33+0.80645</f>
        <v>2.89745</v>
      </c>
      <c r="F65" s="10">
        <f>0.7935+0.9675+0.1+0.41695</f>
        <v>2.27795</v>
      </c>
      <c r="G65" s="10"/>
      <c r="H65" s="10"/>
      <c r="I65" s="10"/>
      <c r="J65" s="8">
        <f t="shared" si="0"/>
        <v>0.619499999999999</v>
      </c>
      <c r="K65" s="25">
        <v>0.6195</v>
      </c>
      <c r="L65" s="25"/>
      <c r="M65" s="25"/>
      <c r="N65" s="25"/>
      <c r="O65" s="25"/>
      <c r="P65" s="25">
        <f t="shared" si="1"/>
        <v>0.6195</v>
      </c>
    </row>
    <row r="66" s="2" customFormat="1" ht="18" customHeight="1" spans="1:16">
      <c r="A66" s="13" t="s">
        <v>144</v>
      </c>
      <c r="B66" s="14" t="s">
        <v>143</v>
      </c>
      <c r="C66" s="8" t="s">
        <v>36</v>
      </c>
      <c r="D66" s="8">
        <v>41.03691</v>
      </c>
      <c r="E66" s="8">
        <f>1.906+6.8112+0.54+2.342+0.6+2.7181+3.9065+2.1635+0.802+3.868</f>
        <v>25.6573</v>
      </c>
      <c r="F66" s="10">
        <f>5.09061+0.624+1.62+2.896+0.5+2.84</f>
        <v>13.57061</v>
      </c>
      <c r="G66" s="10">
        <f>0.95+0.046+0.8781+0.2078+2.1987</f>
        <v>4.2806</v>
      </c>
      <c r="H66" s="10"/>
      <c r="I66" s="10"/>
      <c r="J66" s="8">
        <f t="shared" si="0"/>
        <v>48.843</v>
      </c>
      <c r="K66" s="25"/>
      <c r="L66" s="25">
        <v>48.843</v>
      </c>
      <c r="M66" s="25"/>
      <c r="N66" s="25"/>
      <c r="O66" s="25"/>
      <c r="P66" s="25">
        <f t="shared" si="1"/>
        <v>48.843</v>
      </c>
    </row>
    <row r="67" s="2" customFormat="1" ht="18" customHeight="1" spans="1:16">
      <c r="A67" s="13" t="s">
        <v>145</v>
      </c>
      <c r="B67" s="14" t="s">
        <v>146</v>
      </c>
      <c r="C67" s="8" t="s">
        <v>36</v>
      </c>
      <c r="D67" s="8">
        <v>16.48</v>
      </c>
      <c r="E67" s="8"/>
      <c r="F67" s="10"/>
      <c r="G67" s="10"/>
      <c r="H67" s="10"/>
      <c r="I67" s="10"/>
      <c r="J67" s="8">
        <f t="shared" si="0"/>
        <v>16.48</v>
      </c>
      <c r="K67" s="25"/>
      <c r="L67" s="25">
        <v>16.48</v>
      </c>
      <c r="M67" s="25"/>
      <c r="N67" s="25"/>
      <c r="O67" s="25"/>
      <c r="P67" s="25">
        <f t="shared" si="1"/>
        <v>16.48</v>
      </c>
    </row>
    <row r="68" s="2" customFormat="1" ht="18" customHeight="1" spans="1:16">
      <c r="A68" s="12" t="s">
        <v>147</v>
      </c>
      <c r="B68" s="8"/>
      <c r="C68" s="8"/>
      <c r="D68" s="8">
        <v>3824.82418</v>
      </c>
      <c r="E68" s="14">
        <f>SUM(E4:E67)</f>
        <v>1777.6649</v>
      </c>
      <c r="F68" s="14">
        <f>SUM(F4:F67)</f>
        <v>1357.79466</v>
      </c>
      <c r="G68" s="14">
        <f>SUM(G4:G67)</f>
        <v>325.7726</v>
      </c>
      <c r="H68" s="14">
        <f>SUM(H4:H67)</f>
        <v>36.575</v>
      </c>
      <c r="I68" s="14">
        <f>SUM(I4:I67)</f>
        <v>0</v>
      </c>
      <c r="J68" s="8">
        <f>D68+E68-F68-G68-H68-I68</f>
        <v>3882.34682</v>
      </c>
      <c r="K68" s="25">
        <f t="shared" ref="K68:P68" si="3">SUM(K4:K67)</f>
        <v>764.2085</v>
      </c>
      <c r="L68" s="25">
        <f t="shared" si="3"/>
        <v>1027.4955</v>
      </c>
      <c r="M68" s="25">
        <f t="shared" si="3"/>
        <v>0</v>
      </c>
      <c r="N68" s="25">
        <f t="shared" si="3"/>
        <v>1777.04282</v>
      </c>
      <c r="O68" s="25">
        <f t="shared" si="3"/>
        <v>313.6</v>
      </c>
      <c r="P68" s="25">
        <f t="shared" si="3"/>
        <v>3882.34682</v>
      </c>
    </row>
    <row r="69" s="1" customFormat="1" ht="25" customHeight="1" spans="1:10">
      <c r="A69" s="34" t="s">
        <v>148</v>
      </c>
      <c r="B69" s="27"/>
      <c r="C69" s="34"/>
      <c r="D69" s="27"/>
      <c r="E69" s="27"/>
      <c r="F69" s="35">
        <f>F68+G68+H68</f>
        <v>1720.14226</v>
      </c>
      <c r="G69" s="36"/>
      <c r="H69" s="36"/>
      <c r="I69" s="36"/>
      <c r="J69" s="27"/>
    </row>
    <row r="70" s="2" customFormat="1" ht="14.25" spans="1:16">
      <c r="A70" s="1"/>
      <c r="B70" s="2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="2" customFormat="1" ht="14.25" spans="1:16">
      <c r="A71" s="1"/>
      <c r="B71" s="2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="2" customFormat="1" ht="14.25" spans="1:16">
      <c r="A72" s="1"/>
      <c r="B72" s="2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="2" customFormat="1" ht="14.25" spans="1:16">
      <c r="A73" s="1"/>
      <c r="B73" s="2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="2" customFormat="1" ht="14.25" spans="1:16">
      <c r="A74" s="1"/>
      <c r="B74" s="2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="2" customFormat="1" ht="14.25" spans="1:16">
      <c r="A75" s="1"/>
      <c r="B75" s="2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="2" customFormat="1" ht="14.25" spans="1:16">
      <c r="A76" s="1"/>
      <c r="B76" s="2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="2" customFormat="1" ht="14.25" spans="1:16">
      <c r="A77" s="1"/>
      <c r="B77" s="2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="2" customFormat="1" ht="14.25" spans="1:16">
      <c r="A78" s="1"/>
      <c r="B78" s="2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="2" customFormat="1" ht="14.25" spans="1:16">
      <c r="A79" s="1"/>
      <c r="B79" s="2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="2" customFormat="1" ht="14.25" spans="1:16">
      <c r="A80" s="1"/>
      <c r="B80" s="2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="2" customFormat="1" ht="14.25" spans="1:16">
      <c r="A81" s="1"/>
      <c r="B81" s="2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="2" customFormat="1" ht="14.25" spans="1:16">
      <c r="A82" s="1"/>
      <c r="B82" s="2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="2" customFormat="1" ht="14.25" spans="1:16">
      <c r="A83" s="1"/>
      <c r="B83" s="2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="2" customFormat="1" ht="14.25" spans="1:16">
      <c r="A84" s="1"/>
      <c r="B84" s="2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="2" customFormat="1" ht="14.25" spans="1:16">
      <c r="A85" s="1"/>
      <c r="B85" s="2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="2" customFormat="1" ht="14.25" spans="1:16">
      <c r="A86" s="1"/>
      <c r="B86" s="2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="2" customFormat="1" ht="14.25" spans="1:16">
      <c r="A87" s="1"/>
      <c r="B87" s="2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="2" customFormat="1" ht="14.25" spans="1:16">
      <c r="A88" s="1"/>
      <c r="B88" s="2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="2" customFormat="1" ht="14.25" spans="1:16">
      <c r="A89" s="1"/>
      <c r="B89" s="2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="2" customFormat="1" ht="14.25" spans="1:16">
      <c r="A90" s="1"/>
      <c r="B90" s="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="2" customFormat="1" ht="14.25" spans="1:16">
      <c r="A91" s="1"/>
      <c r="B91" s="2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="2" customFormat="1" ht="14.25" spans="1:16">
      <c r="A92" s="1"/>
      <c r="B92" s="2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="2" customFormat="1" ht="14.25" spans="1:16">
      <c r="A93" s="1"/>
      <c r="B93" s="2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="2" customFormat="1" ht="14.25" spans="1:16">
      <c r="A94" s="1"/>
      <c r="B94" s="2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="2" customFormat="1" ht="14.25" spans="1:16">
      <c r="A95" s="1"/>
      <c r="B95" s="2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="2" customFormat="1" ht="14.25" spans="1:16">
      <c r="A96" s="1"/>
      <c r="B96" s="2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2" customFormat="1" ht="14.25" spans="1:16">
      <c r="A97" s="1"/>
      <c r="B97" s="2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="2" customFormat="1" ht="14.25" spans="1:16">
      <c r="A98" s="1"/>
      <c r="B98" s="2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="2" customFormat="1" ht="14.25" spans="1:16">
      <c r="A99" s="1"/>
      <c r="B99" s="2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="2" customFormat="1" ht="14.25" spans="1:16">
      <c r="A100" s="1"/>
      <c r="B100" s="2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="2" customFormat="1" ht="14.25" spans="1:16">
      <c r="A101" s="1"/>
      <c r="B101" s="2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="2" customFormat="1" ht="14.25" spans="1:16">
      <c r="A102" s="1"/>
      <c r="B102" s="2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="2" customFormat="1" ht="14.25" spans="1:16">
      <c r="A103" s="1"/>
      <c r="B103" s="2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="2" customFormat="1" ht="14.25" spans="1:16">
      <c r="A104" s="1"/>
      <c r="B104" s="2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="2" customFormat="1" ht="14.25" spans="1:16">
      <c r="A105" s="1"/>
      <c r="B105" s="2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="2" customFormat="1" ht="14.25" spans="1:16">
      <c r="A106" s="1"/>
      <c r="B106" s="2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="2" customFormat="1" ht="14.25" spans="1:16">
      <c r="A107" s="1"/>
      <c r="B107" s="2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="2" customFormat="1" ht="14.25" spans="1:16">
      <c r="A108" s="1"/>
      <c r="B108" s="2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="2" customFormat="1" ht="14.25" spans="1:16">
      <c r="A109" s="1"/>
      <c r="B109" s="2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</sheetData>
  <mergeCells count="18">
    <mergeCell ref="A1:J1"/>
    <mergeCell ref="R1:AA1"/>
    <mergeCell ref="F2:I2"/>
    <mergeCell ref="V2:X2"/>
    <mergeCell ref="F69:I69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2025-09-02T06:57:00Z</dcterms:created>
  <dcterms:modified xsi:type="dcterms:W3CDTF">2026-01-15T01:16:10Z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11160BF1630F4FA488E18A82EB613B52_11</vt:lpwstr>
  </property>
  <property fmtid="{D5CDD505-2E9C-101B-9397-08002B2CF9AE}" pid="3" name="KSOProductBuildVer">
    <vt:lpwstr>2052-11.1.0.14309</vt:lpwstr>
  </property>
</Properties>
</file>