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<sst xmlns="http://schemas.openxmlformats.org/spreadsheetml/2006/main" count="542" uniqueCount="259">
  <si>
    <t>2025年生产部11月接收处置记录统计表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</si>
  <si>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</si>
  <si>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</si>
  <si>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</si>
  <si>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</si>
  <si>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</si>
  <si>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</si>
  <si>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</si>
  <si>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</si>
  <si>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</si>
  <si>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</si>
  <si>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</si>
  <si>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</si>
  <si>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</si>
  <si>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</si>
  <si>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</si>
  <si>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</si>
  <si>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</si>
  <si>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</si>
  <si>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</si>
  <si>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</si>
  <si>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</si>
  <si>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</si>
  <si>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</si>
  <si>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</si>
  <si>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</si>
  <si>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</si>
  <si>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蒸馏残液</t>
  </si>
  <si>
    <t>271-001-02</t>
  </si>
  <si>
    <t>液态</t>
  </si>
  <si>
    <t>炉渣（回转窑）</t>
  </si>
  <si>
    <t>精馏残渣</t>
  </si>
  <si>
    <t>固态</t>
  </si>
  <si>
    <t>飞灰（回转窑）</t>
  </si>
  <si>
    <t>反应残渣3</t>
  </si>
  <si>
    <t>半固态</t>
  </si>
  <si>
    <t>飞灰（废液炉）</t>
  </si>
  <si>
    <t>废有机溶剂</t>
  </si>
  <si>
    <t>271-002-02</t>
  </si>
  <si>
    <t>废油渣/泥</t>
  </si>
  <si>
    <t>精馏切水后剩下的罐底泥</t>
  </si>
  <si>
    <t>过滤介质</t>
  </si>
  <si>
    <t>271-003-02</t>
  </si>
  <si>
    <t>含油污水</t>
  </si>
  <si>
    <t>蒸汽清洗过程</t>
  </si>
  <si>
    <t>药用废炭</t>
  </si>
  <si>
    <t>271-004-02</t>
  </si>
  <si>
    <t>废商标</t>
  </si>
  <si>
    <t>除商标</t>
  </si>
  <si>
    <t>实验室废液</t>
  </si>
  <si>
    <t>900-002-03</t>
  </si>
  <si>
    <t>废残液</t>
  </si>
  <si>
    <t>抽残液</t>
  </si>
  <si>
    <t>高危化学品</t>
  </si>
  <si>
    <t>废渣</t>
  </si>
  <si>
    <t>清洗过程</t>
  </si>
  <si>
    <t>一般废药品</t>
  </si>
  <si>
    <t>漆渣</t>
  </si>
  <si>
    <t>废药物、药品
杀虫剂、磷化铝等</t>
  </si>
  <si>
    <t>900-003-04</t>
  </si>
  <si>
    <t>污水厂污泥</t>
  </si>
  <si>
    <t>水处理后产生的污泥</t>
  </si>
  <si>
    <t>废清洗剂</t>
  </si>
  <si>
    <t>清洗剂清洗过程</t>
  </si>
  <si>
    <t>废盐</t>
  </si>
  <si>
    <t>263-008-04</t>
  </si>
  <si>
    <t>263-009-04</t>
  </si>
  <si>
    <t>污泥</t>
  </si>
  <si>
    <t>263-011-04</t>
  </si>
  <si>
    <t>废弃木材</t>
  </si>
  <si>
    <t>201-003-05</t>
  </si>
  <si>
    <t>900-401-06</t>
  </si>
  <si>
    <t>废有机溶剂及废物</t>
  </si>
  <si>
    <t>900-402-06</t>
  </si>
  <si>
    <t>清洗剂、渗透剂包装物</t>
  </si>
  <si>
    <t>900-404-06</t>
  </si>
  <si>
    <t>废稀释剂桶</t>
  </si>
  <si>
    <t>废有机废液</t>
  </si>
  <si>
    <t>900-405-06</t>
  </si>
  <si>
    <t>废活性炭</t>
  </si>
  <si>
    <t>丙烯酸甲酯聚合物</t>
  </si>
  <si>
    <t>900-407-06</t>
  </si>
  <si>
    <t>危废污泥</t>
  </si>
  <si>
    <t>900-409-06</t>
  </si>
  <si>
    <t>油污水</t>
  </si>
  <si>
    <t>251-001-08</t>
  </si>
  <si>
    <t>清舱污泥（水）</t>
  </si>
  <si>
    <t>清罐油渣</t>
  </si>
  <si>
    <t>251-002-08</t>
  </si>
  <si>
    <t>浮渣、污泥</t>
  </si>
  <si>
    <t>251-003-08</t>
  </si>
  <si>
    <t>废滤芯</t>
  </si>
  <si>
    <t>251-012-08</t>
  </si>
  <si>
    <t>废溶剂油</t>
  </si>
  <si>
    <t>291-001-08</t>
  </si>
  <si>
    <t>油泥、油脚</t>
  </si>
  <si>
    <t>071-001-08</t>
  </si>
  <si>
    <t>含油泥浆</t>
  </si>
  <si>
    <t>071-002-08</t>
  </si>
  <si>
    <t>含油岩屑</t>
  </si>
  <si>
    <t>废油泥</t>
  </si>
  <si>
    <t>900-200-08</t>
  </si>
  <si>
    <t>研磨泥</t>
  </si>
  <si>
    <t>HW08废油</t>
  </si>
  <si>
    <t>废煤油</t>
  </si>
  <si>
    <t>900-201-08</t>
  </si>
  <si>
    <t>油泥</t>
  </si>
  <si>
    <t>废锡膏盒</t>
  </si>
  <si>
    <t>900-205-08</t>
  </si>
  <si>
    <t>废润滑油废浮渣</t>
  </si>
  <si>
    <t>900-209-08</t>
  </si>
  <si>
    <t>废润滑脂</t>
  </si>
  <si>
    <t>水处理浮渣及污泥</t>
  </si>
  <si>
    <t>900-210-08</t>
  </si>
  <si>
    <t>废机油、含油废水</t>
  </si>
  <si>
    <t>废水处理过程产废油、油泥、浮渣</t>
  </si>
  <si>
    <t>废白土</t>
  </si>
  <si>
    <t>900-213-08</t>
  </si>
  <si>
    <t>废机油</t>
  </si>
  <si>
    <t>废矿物油</t>
  </si>
  <si>
    <t>900-214-08</t>
  </si>
  <si>
    <t>废锂基脂</t>
  </si>
  <si>
    <t>900-217-08</t>
  </si>
  <si>
    <t>砂轮渣</t>
  </si>
  <si>
    <t>废液压油</t>
  </si>
  <si>
    <t>900-218-08</t>
  </si>
  <si>
    <t>废冷冻机油</t>
  </si>
  <si>
    <t>900-219-08</t>
  </si>
  <si>
    <t>废矿物油与含矿物油废物</t>
  </si>
  <si>
    <t>900-220-08</t>
  </si>
  <si>
    <t>清罐污泥</t>
  </si>
  <si>
    <t>清罐油泥</t>
  </si>
  <si>
    <t>900-221-08</t>
  </si>
  <si>
    <t>900-249-08</t>
  </si>
  <si>
    <t>废矿物油、废油桶</t>
  </si>
  <si>
    <t>废矿物油、油泥</t>
  </si>
  <si>
    <t>废水、乳化液</t>
  </si>
  <si>
    <t>900-007-09</t>
  </si>
  <si>
    <t>沉淀渣</t>
  </si>
  <si>
    <t>废乳化液</t>
  </si>
  <si>
    <t>900-005-09</t>
  </si>
  <si>
    <t>900-006-09</t>
  </si>
  <si>
    <t>砂轮沫</t>
  </si>
  <si>
    <t>废焦油渣</t>
  </si>
  <si>
    <t>252-005-11</t>
  </si>
  <si>
    <t>废水汽提塔排重质烃</t>
  </si>
  <si>
    <t>252-009-11</t>
  </si>
  <si>
    <t>煤焦油、釜残</t>
  </si>
  <si>
    <t>900-013-11</t>
  </si>
  <si>
    <t>煤焦油</t>
  </si>
  <si>
    <t>釜残</t>
  </si>
  <si>
    <t>451-003-11</t>
  </si>
  <si>
    <t>焦油渣</t>
  </si>
  <si>
    <t>451-001-11</t>
  </si>
  <si>
    <t>900-250-12</t>
  </si>
  <si>
    <t>油漆渣</t>
  </si>
  <si>
    <t>900-251-12</t>
  </si>
  <si>
    <t>900-252-12</t>
  </si>
  <si>
    <t>废漆渣</t>
  </si>
  <si>
    <t>废油墨</t>
  </si>
  <si>
    <t>900-253-12</t>
  </si>
  <si>
    <t>废油印纸/油墨盒</t>
  </si>
  <si>
    <t>原材料废包装袋</t>
  </si>
  <si>
    <t>900-255-12</t>
  </si>
  <si>
    <t>废油漆</t>
  </si>
  <si>
    <t>900-256-12</t>
  </si>
  <si>
    <t>油墨渣子、油漆</t>
  </si>
  <si>
    <t>900-299-12</t>
  </si>
  <si>
    <t>硒鼓墨盒</t>
  </si>
  <si>
    <t>264-011-12</t>
  </si>
  <si>
    <t>油墨渣</t>
  </si>
  <si>
    <t>264-012-12</t>
  </si>
  <si>
    <t>废水处理污泥</t>
  </si>
  <si>
    <t>废漆渣稀释剂混合物</t>
  </si>
  <si>
    <t>264-013-12</t>
  </si>
  <si>
    <t>发泡废料，废胶水</t>
  </si>
  <si>
    <t>900-014-13</t>
  </si>
  <si>
    <t>废胶水</t>
  </si>
  <si>
    <t>废树脂</t>
  </si>
  <si>
    <t>900-015-13</t>
  </si>
  <si>
    <t>废水</t>
  </si>
  <si>
    <t>900-016-13</t>
  </si>
  <si>
    <t>有机树脂废物</t>
  </si>
  <si>
    <t>PBL真空废液</t>
  </si>
  <si>
    <t>265-101-13</t>
  </si>
  <si>
    <t>不合格有机树脂</t>
  </si>
  <si>
    <t>含盐废水</t>
  </si>
  <si>
    <t>265-103-13</t>
  </si>
  <si>
    <t>釜残与滤渣</t>
  </si>
  <si>
    <t>265-104-13</t>
  </si>
  <si>
    <t>污水处理站污泥</t>
  </si>
  <si>
    <t>感光废物</t>
  </si>
  <si>
    <t>231-001-16</t>
  </si>
  <si>
    <t>废定影液</t>
  </si>
  <si>
    <t>266-009-16</t>
  </si>
  <si>
    <t>废胶片</t>
  </si>
  <si>
    <t>废显影液</t>
  </si>
  <si>
    <t>900-019-16</t>
  </si>
  <si>
    <t>398-001-16</t>
  </si>
  <si>
    <t>助镀再生废渣</t>
  </si>
  <si>
    <t>336-051-17</t>
  </si>
  <si>
    <t>含铬污泥</t>
  </si>
  <si>
    <t>336-060-17</t>
  </si>
  <si>
    <t>镀铜溶液</t>
  </si>
  <si>
    <t>336-062-17</t>
  </si>
  <si>
    <t>含铜污泥</t>
  </si>
  <si>
    <t>电镀污泥</t>
  </si>
  <si>
    <t>336-052-17</t>
  </si>
  <si>
    <t>336-053-17</t>
  </si>
  <si>
    <t>镀镍废液</t>
  </si>
  <si>
    <t>336-055-17</t>
  </si>
  <si>
    <t>镀铁电解液</t>
  </si>
  <si>
    <t>336-063-17</t>
  </si>
  <si>
    <t>磷化污泥</t>
  </si>
  <si>
    <t>336-064-17</t>
  </si>
  <si>
    <t>金属表面处理污泥</t>
  </si>
  <si>
    <t>废锡渣</t>
  </si>
  <si>
    <t>336-059-17</t>
  </si>
  <si>
    <t>336-069-17</t>
  </si>
  <si>
    <t>活性炭</t>
  </si>
  <si>
    <t>772-005-18</t>
  </si>
  <si>
    <t>废UV灯管</t>
  </si>
  <si>
    <t>900-023-29</t>
  </si>
  <si>
    <t>废碱液</t>
  </si>
  <si>
    <t>251-015-35</t>
  </si>
  <si>
    <t>废碱泥</t>
  </si>
  <si>
    <t>片碱袋</t>
  </si>
  <si>
    <t>900-399-35</t>
  </si>
  <si>
    <t>清洁剂</t>
  </si>
  <si>
    <t>废硫氢化钠残渣</t>
  </si>
  <si>
    <t>900-352-35</t>
  </si>
  <si>
    <t>900-354-35</t>
  </si>
  <si>
    <t>废抗燃油</t>
  </si>
  <si>
    <t>900-033-37</t>
  </si>
  <si>
    <t>含酚废水</t>
  </si>
  <si>
    <t>261-070-39</t>
  </si>
  <si>
    <t>261-071-39</t>
  </si>
  <si>
    <t>261-084-45</t>
  </si>
  <si>
    <t>含油废物</t>
  </si>
  <si>
    <t>900-041-49</t>
  </si>
  <si>
    <t>含有或沾染危险废物的废弃物</t>
  </si>
  <si>
    <t>电捕焦油</t>
  </si>
  <si>
    <t>废酸碱袋</t>
  </si>
  <si>
    <t>900-042-49</t>
  </si>
  <si>
    <t>772-006-49</t>
  </si>
  <si>
    <t>900-039-49</t>
  </si>
  <si>
    <t>废水污泥</t>
  </si>
  <si>
    <t>900-046-49</t>
  </si>
  <si>
    <t>过期化学药品</t>
  </si>
  <si>
    <t>900-047-49</t>
  </si>
  <si>
    <t>乙腈、异丙酮、废液</t>
  </si>
  <si>
    <t>危险化学品</t>
  </si>
  <si>
    <t>900-999-49</t>
  </si>
  <si>
    <t>过期面膜原料、残液</t>
  </si>
  <si>
    <t>废催化剂</t>
  </si>
  <si>
    <t>261-151-50</t>
  </si>
  <si>
    <t>261-152-50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</si>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</sst>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78"/>
  <sheetViews>
    <sheetView tabSelected="1" topLeftCell="F1" workbookViewId="0">
      <selection activeCell="U5" sqref="U5"/>
    </sheetView>
  </sheetViews>
  <sheetFormatPr defaultColWidth="9" defaultRowHeight="13.5"/>
  <cols>
    <col min="1" max="1" width="17.75" style="1" customWidth="1"/>
    <col min="2" max="2" width="11.875" style="1" customWidth="1"/>
    <col min="3" max="3" width="7.37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0.375" style="1" customWidth="1"/>
    <col min="12" max="12" width="10.5" style="1" customWidth="1"/>
    <col min="13" max="13" width="9.375" style="1"/>
    <col min="14" max="14" width="11.75" style="1" customWidth="1"/>
    <col min="15" max="15" width="6.125" style="1" customWidth="1"/>
    <col min="16" max="16" width="12.625" style="1"/>
    <col min="17" max="17" width="9" style="1"/>
    <col min="18" max="18" width="14.875" style="1" customWidth="1"/>
    <col min="19" max="25" width="9" style="1"/>
    <col min="26" max="26" width="21.75" style="1" customWidth="1"/>
    <col min="27" max="16384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6" t="s">
        <v>1</v>
      </c>
      <c r="S1" s="26"/>
      <c r="T1" s="26"/>
      <c r="U1" s="26"/>
      <c r="V1" s="26"/>
      <c r="W1" s="26"/>
      <c r="X1" s="26"/>
      <c r="Y1" s="26"/>
      <c r="Z1" s="26"/>
      <c r="AA1" s="26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/>
      <c r="R2" s="27" t="s">
        <v>2</v>
      </c>
      <c r="S2" s="27" t="s">
        <v>5</v>
      </c>
      <c r="T2" s="27" t="s">
        <v>14</v>
      </c>
      <c r="U2" s="28" t="s">
        <v>15</v>
      </c>
      <c r="V2" s="27" t="s">
        <v>16</v>
      </c>
      <c r="W2" s="27"/>
      <c r="X2" s="27"/>
      <c r="Y2" s="28" t="s">
        <v>17</v>
      </c>
      <c r="Z2" s="33" t="s">
        <v>18</v>
      </c>
      <c r="AA2" s="33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/>
      <c r="R3" s="27"/>
      <c r="S3" s="27"/>
      <c r="T3" s="27"/>
      <c r="U3" s="29"/>
      <c r="V3" s="27" t="s">
        <v>24</v>
      </c>
      <c r="W3" s="27" t="s">
        <v>25</v>
      </c>
      <c r="X3" s="27" t="s">
        <v>26</v>
      </c>
      <c r="Y3" s="29"/>
      <c r="Z3" s="33"/>
      <c r="AA3" s="33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31.3345</v>
      </c>
      <c r="E4" s="8"/>
      <c r="F4" s="10"/>
      <c r="G4" s="10"/>
      <c r="H4" s="10"/>
      <c r="I4" s="10"/>
      <c r="J4" s="8">
        <f t="shared" ref="J4:J67" si="0">D4+E4-F4-G4-H4-I4</f>
        <v>31.3345</v>
      </c>
      <c r="K4" s="25">
        <v>31.3345</v>
      </c>
      <c r="L4" s="25"/>
      <c r="M4" s="25"/>
      <c r="N4" s="25"/>
      <c r="O4" s="25"/>
      <c r="P4" s="25">
        <f t="shared" ref="P4:P67" si="1">K4+L4+M4+N4+O4</f>
        <v>31.3345</v>
      </c>
      <c r="R4" s="30" t="s">
        <v>30</v>
      </c>
      <c r="S4" s="27">
        <v>165.77</v>
      </c>
      <c r="T4" s="27">
        <f>105.96-13.29</f>
        <v>92.67</v>
      </c>
      <c r="U4" s="27">
        <f>85-11</f>
        <v>74</v>
      </c>
      <c r="V4" s="27"/>
      <c r="W4" s="27"/>
      <c r="X4" s="27"/>
      <c r="Y4" s="27">
        <f t="shared" ref="Y4:Y14" si="2">S4+T4-V4-X4-W4</f>
        <v>258.44</v>
      </c>
      <c r="Z4" s="25"/>
      <c r="AA4" s="25"/>
    </row>
    <row r="5" s="2" customFormat="1" ht="18" customHeight="1" spans="1:27">
      <c r="A5" s="11" t="s">
        <v>31</v>
      </c>
      <c r="B5" s="8" t="s">
        <v>28</v>
      </c>
      <c r="C5" s="8" t="s">
        <v>32</v>
      </c>
      <c r="D5" s="8">
        <v>0</v>
      </c>
      <c r="E5" s="8"/>
      <c r="F5" s="10"/>
      <c r="G5" s="10"/>
      <c r="H5" s="10"/>
      <c r="I5" s="10"/>
      <c r="J5" s="8">
        <f t="shared" si="0"/>
        <v>0</v>
      </c>
      <c r="K5" s="25"/>
      <c r="L5" s="25"/>
      <c r="M5" s="25"/>
      <c r="N5" s="25"/>
      <c r="O5" s="25"/>
      <c r="P5" s="25">
        <f t="shared" si="1"/>
        <v>0</v>
      </c>
      <c r="R5" s="30" t="s">
        <v>33</v>
      </c>
      <c r="S5" s="31">
        <v>10.383</v>
      </c>
      <c r="T5" s="27">
        <v>15.55</v>
      </c>
      <c r="U5" s="27">
        <v>35</v>
      </c>
      <c r="V5" s="27"/>
      <c r="W5" s="27"/>
      <c r="X5" s="27"/>
      <c r="Y5" s="27">
        <f t="shared" si="2"/>
        <v>25.933</v>
      </c>
      <c r="Z5" s="25"/>
      <c r="AA5" s="25"/>
    </row>
    <row r="6" s="2" customFormat="1" ht="18" customHeight="1" spans="1:27">
      <c r="A6" s="11" t="s">
        <v>34</v>
      </c>
      <c r="B6" s="8" t="s">
        <v>28</v>
      </c>
      <c r="C6" s="8" t="s">
        <v>35</v>
      </c>
      <c r="D6" s="8">
        <v>0</v>
      </c>
      <c r="E6" s="8"/>
      <c r="F6" s="10"/>
      <c r="G6" s="10"/>
      <c r="H6" s="10"/>
      <c r="I6" s="10"/>
      <c r="J6" s="8">
        <f t="shared" si="0"/>
        <v>0</v>
      </c>
      <c r="K6" s="25"/>
      <c r="L6" s="25"/>
      <c r="M6" s="25"/>
      <c r="N6" s="25"/>
      <c r="O6" s="25"/>
      <c r="P6" s="25">
        <f t="shared" si="1"/>
        <v>0</v>
      </c>
      <c r="R6" s="30" t="s">
        <v>36</v>
      </c>
      <c r="S6" s="31">
        <v>0.965</v>
      </c>
      <c r="T6" s="27">
        <v>3.08</v>
      </c>
      <c r="U6" s="27">
        <v>8</v>
      </c>
      <c r="V6" s="27"/>
      <c r="W6" s="29"/>
      <c r="X6" s="29"/>
      <c r="Y6" s="27">
        <f t="shared" si="2"/>
        <v>4.045</v>
      </c>
      <c r="Z6" s="25"/>
      <c r="AA6" s="25"/>
    </row>
    <row r="7" s="2" customFormat="1" ht="18" customHeight="1" spans="1:27">
      <c r="A7" s="11" t="s">
        <v>37</v>
      </c>
      <c r="B7" s="8" t="s">
        <v>38</v>
      </c>
      <c r="C7" s="8" t="s">
        <v>29</v>
      </c>
      <c r="D7" s="8">
        <v>0</v>
      </c>
      <c r="E7" s="8">
        <f>9.33824</f>
        <v>9.33824</v>
      </c>
      <c r="F7" s="10"/>
      <c r="G7" s="10"/>
      <c r="H7" s="10"/>
      <c r="I7" s="10"/>
      <c r="J7" s="8">
        <f t="shared" si="0"/>
        <v>9.33824</v>
      </c>
      <c r="K7" s="25">
        <v>9.33824</v>
      </c>
      <c r="L7" s="25"/>
      <c r="M7" s="25"/>
      <c r="N7" s="25"/>
      <c r="O7" s="25"/>
      <c r="P7" s="25">
        <f t="shared" si="1"/>
        <v>9.33824</v>
      </c>
      <c r="R7" s="30" t="s">
        <v>39</v>
      </c>
      <c r="S7" s="27">
        <v>0</v>
      </c>
      <c r="T7" s="27"/>
      <c r="U7" s="27"/>
      <c r="V7" s="27"/>
      <c r="W7" s="27"/>
      <c r="X7" s="27"/>
      <c r="Y7" s="27">
        <f t="shared" si="2"/>
        <v>0</v>
      </c>
      <c r="Z7" s="25" t="s">
        <v>40</v>
      </c>
      <c r="AA7" s="25"/>
    </row>
    <row r="8" s="2" customFormat="1" ht="18" customHeight="1" spans="1:27">
      <c r="A8" s="12" t="s">
        <v>41</v>
      </c>
      <c r="B8" s="8" t="s">
        <v>42</v>
      </c>
      <c r="C8" s="8" t="s">
        <v>32</v>
      </c>
      <c r="D8" s="8">
        <v>0</v>
      </c>
      <c r="E8" s="8"/>
      <c r="F8" s="10"/>
      <c r="G8" s="10"/>
      <c r="H8" s="10"/>
      <c r="I8" s="10"/>
      <c r="J8" s="8">
        <f t="shared" si="0"/>
        <v>0</v>
      </c>
      <c r="K8" s="25"/>
      <c r="L8" s="25"/>
      <c r="M8" s="25"/>
      <c r="N8" s="25"/>
      <c r="O8" s="25"/>
      <c r="P8" s="25">
        <f t="shared" si="1"/>
        <v>0</v>
      </c>
      <c r="R8" s="11" t="s">
        <v>43</v>
      </c>
      <c r="S8" s="32">
        <v>0</v>
      </c>
      <c r="T8" s="33"/>
      <c r="U8" s="33"/>
      <c r="V8" s="33"/>
      <c r="W8" s="33"/>
      <c r="X8" s="33"/>
      <c r="Y8" s="27">
        <f t="shared" si="2"/>
        <v>0</v>
      </c>
      <c r="Z8" s="25" t="s">
        <v>44</v>
      </c>
      <c r="AA8" s="25" t="s">
        <v>10</v>
      </c>
    </row>
    <row r="9" s="2" customFormat="1" ht="18" customHeight="1" spans="1:27">
      <c r="A9" s="9" t="s">
        <v>45</v>
      </c>
      <c r="B9" s="8" t="s">
        <v>46</v>
      </c>
      <c r="C9" s="8" t="s">
        <v>32</v>
      </c>
      <c r="D9" s="8">
        <v>0</v>
      </c>
      <c r="E9" s="8">
        <f>0.23736</f>
        <v>0.23736</v>
      </c>
      <c r="F9" s="10"/>
      <c r="G9" s="10"/>
      <c r="H9" s="10"/>
      <c r="I9" s="10"/>
      <c r="J9" s="8">
        <f t="shared" si="0"/>
        <v>0.23736</v>
      </c>
      <c r="K9" s="25">
        <v>0.23736</v>
      </c>
      <c r="L9" s="25"/>
      <c r="M9" s="25"/>
      <c r="N9" s="25"/>
      <c r="O9" s="25"/>
      <c r="P9" s="25">
        <f t="shared" si="1"/>
        <v>0.23736</v>
      </c>
      <c r="R9" s="11" t="s">
        <v>47</v>
      </c>
      <c r="S9" s="8">
        <v>0</v>
      </c>
      <c r="T9" s="33"/>
      <c r="U9" s="33"/>
      <c r="V9" s="33"/>
      <c r="W9" s="33"/>
      <c r="X9" s="25"/>
      <c r="Y9" s="27">
        <f t="shared" si="2"/>
        <v>0</v>
      </c>
      <c r="Z9" s="25" t="s">
        <v>48</v>
      </c>
      <c r="AA9" s="25" t="s">
        <v>10</v>
      </c>
    </row>
    <row r="10" s="2" customFormat="1" ht="18" customHeight="1" spans="1:27">
      <c r="A10" s="12" t="s">
        <v>49</v>
      </c>
      <c r="B10" s="8" t="s">
        <v>50</v>
      </c>
      <c r="C10" s="8" t="s">
        <v>29</v>
      </c>
      <c r="D10" s="8">
        <v>0</v>
      </c>
      <c r="E10" s="8"/>
      <c r="F10" s="10"/>
      <c r="G10" s="10"/>
      <c r="H10" s="10"/>
      <c r="I10" s="10"/>
      <c r="J10" s="8">
        <f t="shared" si="0"/>
        <v>0</v>
      </c>
      <c r="K10" s="25"/>
      <c r="L10" s="25"/>
      <c r="M10" s="25"/>
      <c r="N10" s="25"/>
      <c r="O10" s="25"/>
      <c r="P10" s="25">
        <f t="shared" si="1"/>
        <v>0</v>
      </c>
      <c r="R10" s="11" t="s">
        <v>51</v>
      </c>
      <c r="S10" s="32">
        <v>0</v>
      </c>
      <c r="T10" s="33"/>
      <c r="U10" s="33"/>
      <c r="V10" s="33"/>
      <c r="W10" s="33"/>
      <c r="X10" s="25"/>
      <c r="Y10" s="27">
        <f t="shared" si="2"/>
        <v>0</v>
      </c>
      <c r="Z10" s="25" t="s">
        <v>52</v>
      </c>
      <c r="AA10" s="25" t="s">
        <v>10</v>
      </c>
    </row>
    <row r="11" s="2" customFormat="1" ht="18" customHeight="1" spans="1:27">
      <c r="A11" s="12" t="s">
        <v>53</v>
      </c>
      <c r="B11" s="8" t="s">
        <v>50</v>
      </c>
      <c r="C11" s="8" t="s">
        <v>35</v>
      </c>
      <c r="D11" s="8">
        <v>0</v>
      </c>
      <c r="E11" s="13"/>
      <c r="F11" s="10"/>
      <c r="G11" s="10"/>
      <c r="H11" s="10"/>
      <c r="I11" s="10"/>
      <c r="J11" s="8">
        <f t="shared" si="0"/>
        <v>0</v>
      </c>
      <c r="K11" s="25"/>
      <c r="L11" s="25"/>
      <c r="M11" s="25"/>
      <c r="N11" s="25"/>
      <c r="O11" s="25"/>
      <c r="P11" s="25">
        <f t="shared" si="1"/>
        <v>0</v>
      </c>
      <c r="R11" s="11" t="s">
        <v>54</v>
      </c>
      <c r="S11" s="8">
        <v>0</v>
      </c>
      <c r="T11" s="33"/>
      <c r="U11" s="33"/>
      <c r="V11" s="33"/>
      <c r="W11" s="33"/>
      <c r="X11" s="25"/>
      <c r="Y11" s="27">
        <f t="shared" si="2"/>
        <v>0</v>
      </c>
      <c r="Z11" s="25" t="s">
        <v>55</v>
      </c>
      <c r="AA11" s="25" t="s">
        <v>10</v>
      </c>
    </row>
    <row r="12" s="2" customFormat="1" ht="18" customHeight="1" spans="1:27">
      <c r="A12" s="12" t="s">
        <v>56</v>
      </c>
      <c r="B12" s="8" t="s">
        <v>50</v>
      </c>
      <c r="C12" s="8" t="s">
        <v>32</v>
      </c>
      <c r="D12" s="8">
        <v>0</v>
      </c>
      <c r="E12" s="8">
        <f>0.12</f>
        <v>0.12</v>
      </c>
      <c r="F12" s="10">
        <f>0.1+0.02</f>
        <v>0.12</v>
      </c>
      <c r="G12" s="10"/>
      <c r="H12" s="10"/>
      <c r="I12" s="10"/>
      <c r="J12" s="8">
        <f t="shared" si="0"/>
        <v>0</v>
      </c>
      <c r="K12" s="25"/>
      <c r="L12" s="25"/>
      <c r="M12" s="25"/>
      <c r="N12" s="25"/>
      <c r="O12" s="25"/>
      <c r="P12" s="25">
        <f t="shared" si="1"/>
        <v>0</v>
      </c>
      <c r="R12" s="11" t="s">
        <v>57</v>
      </c>
      <c r="S12" s="32">
        <v>0</v>
      </c>
      <c r="T12" s="8"/>
      <c r="U12" s="8"/>
      <c r="V12" s="8"/>
      <c r="W12" s="8"/>
      <c r="X12" s="25"/>
      <c r="Y12" s="27">
        <f t="shared" si="2"/>
        <v>0</v>
      </c>
      <c r="Z12" s="25" t="s">
        <v>55</v>
      </c>
      <c r="AA12" s="25"/>
    </row>
    <row r="13" s="2" customFormat="1" ht="26" customHeight="1" spans="1:27">
      <c r="A13" s="14" t="s">
        <v>58</v>
      </c>
      <c r="B13" s="8" t="s">
        <v>59</v>
      </c>
      <c r="C13" s="8" t="s">
        <v>32</v>
      </c>
      <c r="D13" s="8">
        <v>0.14</v>
      </c>
      <c r="E13" s="8"/>
      <c r="F13" s="10">
        <f>0.14</f>
        <v>0.14</v>
      </c>
      <c r="G13" s="10"/>
      <c r="H13" s="10"/>
      <c r="I13" s="10"/>
      <c r="J13" s="8">
        <f t="shared" si="0"/>
        <v>0</v>
      </c>
      <c r="K13" s="25"/>
      <c r="L13" s="25"/>
      <c r="M13" s="25"/>
      <c r="N13" s="25"/>
      <c r="O13" s="25"/>
      <c r="P13" s="25">
        <f t="shared" si="1"/>
        <v>0</v>
      </c>
      <c r="R13" s="25" t="s">
        <v>60</v>
      </c>
      <c r="S13" s="33">
        <v>0</v>
      </c>
      <c r="T13" s="33"/>
      <c r="U13" s="33"/>
      <c r="V13" s="33"/>
      <c r="W13" s="33"/>
      <c r="X13" s="33"/>
      <c r="Y13" s="27">
        <f t="shared" si="2"/>
        <v>0</v>
      </c>
      <c r="Z13" s="25" t="s">
        <v>61</v>
      </c>
      <c r="AA13" s="25" t="s">
        <v>10</v>
      </c>
    </row>
    <row r="14" s="2" customFormat="1" ht="22" customHeight="1" spans="1:27">
      <c r="A14" s="15"/>
      <c r="B14" s="8" t="s">
        <v>59</v>
      </c>
      <c r="C14" s="8" t="s">
        <v>35</v>
      </c>
      <c r="D14" s="8">
        <v>0</v>
      </c>
      <c r="E14" s="8"/>
      <c r="F14" s="10"/>
      <c r="G14" s="10"/>
      <c r="H14" s="10"/>
      <c r="I14" s="10"/>
      <c r="J14" s="8">
        <f t="shared" si="0"/>
        <v>0</v>
      </c>
      <c r="K14" s="25"/>
      <c r="L14" s="25"/>
      <c r="M14" s="25"/>
      <c r="N14" s="25"/>
      <c r="O14" s="25"/>
      <c r="P14" s="25">
        <f t="shared" si="1"/>
        <v>0</v>
      </c>
      <c r="R14" s="25" t="s">
        <v>62</v>
      </c>
      <c r="S14" s="33">
        <v>0</v>
      </c>
      <c r="T14" s="33"/>
      <c r="U14" s="33"/>
      <c r="V14" s="33"/>
      <c r="W14" s="33"/>
      <c r="X14" s="33"/>
      <c r="Y14" s="27">
        <f t="shared" si="2"/>
        <v>0</v>
      </c>
      <c r="Z14" s="25" t="s">
        <v>63</v>
      </c>
      <c r="AA14" s="25"/>
    </row>
    <row r="15" s="2" customFormat="1" ht="18" customHeight="1" spans="1:16">
      <c r="A15" s="11" t="s">
        <v>64</v>
      </c>
      <c r="B15" s="8" t="s">
        <v>65</v>
      </c>
      <c r="C15" s="8" t="s">
        <v>32</v>
      </c>
      <c r="D15" s="8">
        <v>0</v>
      </c>
      <c r="E15" s="8"/>
      <c r="F15" s="10"/>
      <c r="G15" s="10"/>
      <c r="H15" s="10"/>
      <c r="I15" s="10"/>
      <c r="J15" s="8">
        <f t="shared" si="0"/>
        <v>0</v>
      </c>
      <c r="K15" s="25"/>
      <c r="L15" s="25"/>
      <c r="M15" s="25"/>
      <c r="N15" s="25"/>
      <c r="O15" s="25"/>
      <c r="P15" s="25">
        <f t="shared" si="1"/>
        <v>0</v>
      </c>
    </row>
    <row r="16" s="2" customFormat="1" ht="18" customHeight="1" spans="1:16">
      <c r="A16" s="11" t="s">
        <v>27</v>
      </c>
      <c r="B16" s="8" t="s">
        <v>65</v>
      </c>
      <c r="C16" s="8" t="s">
        <v>35</v>
      </c>
      <c r="D16" s="8">
        <v>0</v>
      </c>
      <c r="E16" s="8"/>
      <c r="F16" s="10"/>
      <c r="G16" s="10"/>
      <c r="H16" s="10"/>
      <c r="I16" s="10"/>
      <c r="J16" s="8">
        <f t="shared" si="0"/>
        <v>0</v>
      </c>
      <c r="K16" s="25"/>
      <c r="L16" s="25"/>
      <c r="M16" s="25"/>
      <c r="N16" s="25"/>
      <c r="O16" s="25"/>
      <c r="P16" s="25">
        <f t="shared" si="1"/>
        <v>0</v>
      </c>
    </row>
    <row r="17" s="2" customFormat="1" ht="18" customHeight="1" spans="1:16">
      <c r="A17" s="11" t="s">
        <v>54</v>
      </c>
      <c r="B17" s="8" t="s">
        <v>66</v>
      </c>
      <c r="C17" s="8" t="s">
        <v>32</v>
      </c>
      <c r="D17" s="8">
        <v>0</v>
      </c>
      <c r="E17" s="8"/>
      <c r="F17" s="10"/>
      <c r="G17" s="10"/>
      <c r="H17" s="10"/>
      <c r="I17" s="10"/>
      <c r="J17" s="8">
        <f t="shared" si="0"/>
        <v>0</v>
      </c>
      <c r="K17" s="25"/>
      <c r="L17" s="25"/>
      <c r="M17" s="25"/>
      <c r="N17" s="25"/>
      <c r="O17" s="25"/>
      <c r="P17" s="25">
        <f t="shared" si="1"/>
        <v>0</v>
      </c>
    </row>
    <row r="18" s="2" customFormat="1" ht="18" customHeight="1" spans="1:16">
      <c r="A18" s="12" t="s">
        <v>67</v>
      </c>
      <c r="B18" s="8" t="s">
        <v>68</v>
      </c>
      <c r="C18" s="8" t="s">
        <v>35</v>
      </c>
      <c r="D18" s="8">
        <v>0</v>
      </c>
      <c r="E18" s="8">
        <f>16.28</f>
        <v>16.28</v>
      </c>
      <c r="F18" s="10"/>
      <c r="G18" s="10"/>
      <c r="H18" s="10"/>
      <c r="I18" s="10"/>
      <c r="J18" s="8">
        <f t="shared" si="0"/>
        <v>16.28</v>
      </c>
      <c r="K18" s="25">
        <v>16.28</v>
      </c>
      <c r="L18" s="25"/>
      <c r="M18" s="25"/>
      <c r="N18" s="25"/>
      <c r="O18" s="25"/>
      <c r="P18" s="25">
        <f t="shared" si="1"/>
        <v>16.28</v>
      </c>
    </row>
    <row r="19" s="2" customFormat="1" ht="18" customHeight="1" spans="1:16">
      <c r="A19" s="9" t="s">
        <v>69</v>
      </c>
      <c r="B19" s="8" t="s">
        <v>70</v>
      </c>
      <c r="C19" s="8" t="s">
        <v>32</v>
      </c>
      <c r="D19" s="8">
        <v>0</v>
      </c>
      <c r="E19" s="8"/>
      <c r="F19" s="10"/>
      <c r="G19" s="10"/>
      <c r="H19" s="10"/>
      <c r="I19" s="10"/>
      <c r="J19" s="8">
        <f t="shared" si="0"/>
        <v>0</v>
      </c>
      <c r="K19" s="25"/>
      <c r="L19" s="25"/>
      <c r="M19" s="25"/>
      <c r="N19" s="25"/>
      <c r="O19" s="25"/>
      <c r="P19" s="25">
        <f t="shared" si="1"/>
        <v>0</v>
      </c>
    </row>
    <row r="20" s="2" customFormat="1" ht="18" customHeight="1" spans="1:16">
      <c r="A20" s="11" t="s">
        <v>37</v>
      </c>
      <c r="B20" s="8" t="s">
        <v>71</v>
      </c>
      <c r="C20" s="8" t="s">
        <v>29</v>
      </c>
      <c r="D20" s="8">
        <v>0</v>
      </c>
      <c r="E20" s="8"/>
      <c r="F20" s="10"/>
      <c r="G20" s="10"/>
      <c r="H20" s="10"/>
      <c r="I20" s="10"/>
      <c r="J20" s="8">
        <f t="shared" si="0"/>
        <v>0</v>
      </c>
      <c r="K20" s="25"/>
      <c r="L20" s="25"/>
      <c r="M20" s="25"/>
      <c r="N20" s="25"/>
      <c r="O20" s="25"/>
      <c r="P20" s="25">
        <f t="shared" si="1"/>
        <v>0</v>
      </c>
    </row>
    <row r="21" s="2" customFormat="1" ht="18" customHeight="1" spans="1:16">
      <c r="A21" s="12" t="s">
        <v>72</v>
      </c>
      <c r="B21" s="8" t="s">
        <v>73</v>
      </c>
      <c r="C21" s="8" t="s">
        <v>29</v>
      </c>
      <c r="D21" s="8">
        <v>131.9425</v>
      </c>
      <c r="E21" s="8">
        <f>1.925+0.033+27.52+0.007+2.345</f>
        <v>31.83</v>
      </c>
      <c r="F21" s="10">
        <f>0.25+0.007+0.005+0.01+0.017</f>
        <v>0.289</v>
      </c>
      <c r="G21" s="10">
        <f>0.087</f>
        <v>0.087</v>
      </c>
      <c r="H21" s="10"/>
      <c r="I21" s="10"/>
      <c r="J21" s="8">
        <f t="shared" si="0"/>
        <v>163.3965</v>
      </c>
      <c r="K21" s="25"/>
      <c r="L21" s="25">
        <v>163.3965</v>
      </c>
      <c r="M21" s="25"/>
      <c r="N21" s="25"/>
      <c r="O21" s="25"/>
      <c r="P21" s="25">
        <f t="shared" si="1"/>
        <v>163.3965</v>
      </c>
    </row>
    <row r="22" s="2" customFormat="1" ht="18" customHeight="1" spans="1:16">
      <c r="A22" s="9" t="s">
        <v>74</v>
      </c>
      <c r="B22" s="8" t="s">
        <v>73</v>
      </c>
      <c r="C22" s="8" t="s">
        <v>32</v>
      </c>
      <c r="D22" s="8">
        <v>0</v>
      </c>
      <c r="E22" s="8"/>
      <c r="F22" s="10"/>
      <c r="G22" s="10"/>
      <c r="H22" s="10"/>
      <c r="I22" s="10"/>
      <c r="J22" s="8">
        <f t="shared" si="0"/>
        <v>0</v>
      </c>
      <c r="K22" s="25"/>
      <c r="L22" s="25"/>
      <c r="M22" s="25"/>
      <c r="N22" s="25"/>
      <c r="O22" s="25"/>
      <c r="P22" s="25">
        <f t="shared" si="1"/>
        <v>0</v>
      </c>
    </row>
    <row r="23" s="2" customFormat="1" ht="18" customHeight="1" spans="1:16">
      <c r="A23" s="11" t="s">
        <v>37</v>
      </c>
      <c r="B23" s="16" t="s">
        <v>75</v>
      </c>
      <c r="C23" s="8" t="s">
        <v>29</v>
      </c>
      <c r="D23" s="8">
        <v>177.5385</v>
      </c>
      <c r="E23" s="8">
        <f>1.99</f>
        <v>1.99</v>
      </c>
      <c r="F23" s="10"/>
      <c r="G23" s="10">
        <f>4.65+8.5+34+22.95+26.7+4.322</f>
        <v>101.122</v>
      </c>
      <c r="H23" s="10"/>
      <c r="I23" s="10"/>
      <c r="J23" s="8">
        <f t="shared" si="0"/>
        <v>78.4065</v>
      </c>
      <c r="K23" s="25"/>
      <c r="L23" s="25">
        <v>78.4065</v>
      </c>
      <c r="M23" s="25"/>
      <c r="N23" s="25"/>
      <c r="O23" s="25"/>
      <c r="P23" s="25">
        <f t="shared" si="1"/>
        <v>78.4065</v>
      </c>
    </row>
    <row r="24" s="2" customFormat="1" ht="18" customHeight="1" spans="1:16">
      <c r="A24" s="9" t="s">
        <v>76</v>
      </c>
      <c r="B24" s="16" t="s">
        <v>75</v>
      </c>
      <c r="C24" s="8" t="s">
        <v>32</v>
      </c>
      <c r="D24" s="8">
        <v>0</v>
      </c>
      <c r="E24" s="8">
        <f>0.04</f>
        <v>0.04</v>
      </c>
      <c r="F24" s="10">
        <f>0.04</f>
        <v>0.04</v>
      </c>
      <c r="G24" s="10"/>
      <c r="H24" s="10"/>
      <c r="I24" s="10"/>
      <c r="J24" s="8">
        <f t="shared" si="0"/>
        <v>0</v>
      </c>
      <c r="K24" s="25"/>
      <c r="L24" s="25"/>
      <c r="M24" s="25"/>
      <c r="N24" s="25"/>
      <c r="O24" s="25"/>
      <c r="P24" s="25">
        <f t="shared" si="1"/>
        <v>0</v>
      </c>
    </row>
    <row r="25" s="2" customFormat="1" ht="18" customHeight="1" spans="1:16">
      <c r="A25" s="9" t="s">
        <v>77</v>
      </c>
      <c r="B25" s="16" t="s">
        <v>78</v>
      </c>
      <c r="C25" s="8" t="s">
        <v>29</v>
      </c>
      <c r="D25" s="8">
        <v>4.5</v>
      </c>
      <c r="E25" s="8"/>
      <c r="F25" s="10"/>
      <c r="G25" s="10"/>
      <c r="H25" s="10"/>
      <c r="I25" s="10"/>
      <c r="J25" s="8">
        <f t="shared" si="0"/>
        <v>4.5</v>
      </c>
      <c r="K25" s="25"/>
      <c r="L25" s="25">
        <v>4.5</v>
      </c>
      <c r="M25" s="25"/>
      <c r="N25" s="25"/>
      <c r="O25" s="25"/>
      <c r="P25" s="25">
        <f t="shared" si="1"/>
        <v>4.5</v>
      </c>
    </row>
    <row r="26" s="2" customFormat="1" ht="18" customHeight="1" spans="1:16">
      <c r="A26" s="9" t="s">
        <v>79</v>
      </c>
      <c r="B26" s="16" t="s">
        <v>78</v>
      </c>
      <c r="C26" s="8" t="s">
        <v>32</v>
      </c>
      <c r="D26" s="8">
        <v>0.02375</v>
      </c>
      <c r="E26" s="8">
        <f>0.02+0.03835</f>
        <v>0.05835</v>
      </c>
      <c r="F26" s="10">
        <f>0.02375+0.02</f>
        <v>0.04375</v>
      </c>
      <c r="G26" s="10"/>
      <c r="H26" s="10"/>
      <c r="I26" s="10"/>
      <c r="J26" s="8">
        <f t="shared" si="0"/>
        <v>0.03835</v>
      </c>
      <c r="K26" s="25"/>
      <c r="L26" s="25">
        <v>0.03835</v>
      </c>
      <c r="M26" s="25"/>
      <c r="N26" s="25"/>
      <c r="O26" s="25"/>
      <c r="P26" s="25">
        <f t="shared" si="1"/>
        <v>0.03835</v>
      </c>
    </row>
    <row r="27" s="2" customFormat="1" ht="18" customHeight="1" spans="1:16">
      <c r="A27" s="11" t="s">
        <v>80</v>
      </c>
      <c r="B27" s="16" t="s">
        <v>81</v>
      </c>
      <c r="C27" s="8" t="s">
        <v>32</v>
      </c>
      <c r="D27" s="8">
        <v>0</v>
      </c>
      <c r="E27" s="8"/>
      <c r="F27" s="10"/>
      <c r="G27" s="10"/>
      <c r="H27" s="10"/>
      <c r="I27" s="10"/>
      <c r="J27" s="8">
        <f t="shared" si="0"/>
        <v>0</v>
      </c>
      <c r="K27" s="25"/>
      <c r="L27" s="25"/>
      <c r="M27" s="25"/>
      <c r="N27" s="25"/>
      <c r="O27" s="25"/>
      <c r="P27" s="25">
        <f t="shared" si="1"/>
        <v>0</v>
      </c>
    </row>
    <row r="28" s="2" customFormat="1" ht="18" customHeight="1" spans="1:16">
      <c r="A28" s="9" t="s">
        <v>37</v>
      </c>
      <c r="B28" s="16" t="s">
        <v>81</v>
      </c>
      <c r="C28" s="8" t="s">
        <v>29</v>
      </c>
      <c r="D28" s="8">
        <v>163.0205</v>
      </c>
      <c r="E28" s="8">
        <f>29.21+13.46</f>
        <v>42.67</v>
      </c>
      <c r="F28" s="10"/>
      <c r="G28" s="10"/>
      <c r="H28" s="10"/>
      <c r="I28" s="10"/>
      <c r="J28" s="8">
        <f t="shared" si="0"/>
        <v>205.6905</v>
      </c>
      <c r="K28" s="25"/>
      <c r="L28" s="25">
        <v>205.6905</v>
      </c>
      <c r="M28" s="25"/>
      <c r="N28" s="25"/>
      <c r="O28" s="25"/>
      <c r="P28" s="25">
        <f t="shared" si="1"/>
        <v>205.6905</v>
      </c>
    </row>
    <row r="29" s="2" customFormat="1" ht="18" customHeight="1" spans="1:16">
      <c r="A29" s="9" t="s">
        <v>82</v>
      </c>
      <c r="B29" s="16" t="s">
        <v>83</v>
      </c>
      <c r="C29" s="8" t="s">
        <v>32</v>
      </c>
      <c r="D29" s="8">
        <v>113.18</v>
      </c>
      <c r="E29" s="8">
        <f>24.9+18.98+23.12+14.08+19.44</f>
        <v>100.52</v>
      </c>
      <c r="F29" s="10">
        <f>22.94+4.88+18.12+24.54+24.52+10+8.18+12+12.9</f>
        <v>138.08</v>
      </c>
      <c r="G29" s="10"/>
      <c r="H29" s="10"/>
      <c r="I29" s="10"/>
      <c r="J29" s="8">
        <f t="shared" si="0"/>
        <v>75.62</v>
      </c>
      <c r="K29" s="25"/>
      <c r="L29" s="25">
        <v>75.62</v>
      </c>
      <c r="M29" s="25"/>
      <c r="N29" s="25"/>
      <c r="O29" s="25"/>
      <c r="P29" s="25">
        <f t="shared" si="1"/>
        <v>75.62</v>
      </c>
    </row>
    <row r="30" s="2" customFormat="1" ht="18" customHeight="1" spans="1:16">
      <c r="A30" s="9" t="s">
        <v>84</v>
      </c>
      <c r="B30" s="16" t="s">
        <v>85</v>
      </c>
      <c r="C30" s="8" t="s">
        <v>29</v>
      </c>
      <c r="D30" s="8">
        <v>445.75</v>
      </c>
      <c r="E30" s="8"/>
      <c r="F30" s="10">
        <f>8+3.56+9+11+4+16.95+18.12+18+8</f>
        <v>96.63</v>
      </c>
      <c r="G30" s="10">
        <f>16.88+5.6+11+10.62+5.6+14+11.85+12+9</f>
        <v>96.55</v>
      </c>
      <c r="H30" s="10"/>
      <c r="I30" s="10"/>
      <c r="J30" s="8">
        <f t="shared" si="0"/>
        <v>252.57</v>
      </c>
      <c r="K30" s="25"/>
      <c r="L30" s="25"/>
      <c r="M30" s="25"/>
      <c r="N30" s="25">
        <f>252.57-70</f>
        <v>182.57</v>
      </c>
      <c r="O30" s="25">
        <v>70</v>
      </c>
      <c r="P30" s="25">
        <f t="shared" si="1"/>
        <v>252.57</v>
      </c>
    </row>
    <row r="31" s="2" customFormat="1" ht="18" customHeight="1" spans="1:16">
      <c r="A31" s="9" t="s">
        <v>86</v>
      </c>
      <c r="B31" s="16" t="s">
        <v>85</v>
      </c>
      <c r="C31" s="8" t="s">
        <v>35</v>
      </c>
      <c r="D31" s="8">
        <v>0</v>
      </c>
      <c r="E31" s="8"/>
      <c r="F31" s="10"/>
      <c r="G31" s="10"/>
      <c r="H31" s="10"/>
      <c r="I31" s="10"/>
      <c r="J31" s="8">
        <f t="shared" si="0"/>
        <v>0</v>
      </c>
      <c r="K31" s="25"/>
      <c r="L31" s="25"/>
      <c r="M31" s="25"/>
      <c r="N31" s="25"/>
      <c r="O31" s="25"/>
      <c r="P31" s="25">
        <f t="shared" si="1"/>
        <v>0</v>
      </c>
    </row>
    <row r="32" s="2" customFormat="1" ht="18" customHeight="1" spans="1:16">
      <c r="A32" s="9" t="s">
        <v>87</v>
      </c>
      <c r="B32" s="16" t="s">
        <v>88</v>
      </c>
      <c r="C32" s="8" t="s">
        <v>32</v>
      </c>
      <c r="D32" s="8">
        <v>0</v>
      </c>
      <c r="E32" s="8"/>
      <c r="F32" s="10"/>
      <c r="G32" s="10"/>
      <c r="H32" s="10"/>
      <c r="I32" s="10"/>
      <c r="J32" s="8">
        <f t="shared" si="0"/>
        <v>0</v>
      </c>
      <c r="K32" s="25"/>
      <c r="L32" s="25"/>
      <c r="M32" s="25"/>
      <c r="N32" s="25"/>
      <c r="O32" s="25"/>
      <c r="P32" s="25">
        <f t="shared" si="1"/>
        <v>0</v>
      </c>
    </row>
    <row r="33" s="2" customFormat="1" ht="18" customHeight="1" spans="1:16">
      <c r="A33" s="9" t="s">
        <v>89</v>
      </c>
      <c r="B33" s="16" t="s">
        <v>90</v>
      </c>
      <c r="C33" s="8" t="s">
        <v>32</v>
      </c>
      <c r="D33" s="8">
        <v>0</v>
      </c>
      <c r="E33" s="8"/>
      <c r="F33" s="10"/>
      <c r="G33" s="10"/>
      <c r="H33" s="10"/>
      <c r="I33" s="10"/>
      <c r="J33" s="8">
        <f t="shared" si="0"/>
        <v>0</v>
      </c>
      <c r="K33" s="25"/>
      <c r="L33" s="25"/>
      <c r="M33" s="25"/>
      <c r="N33" s="25"/>
      <c r="O33" s="25"/>
      <c r="P33" s="25">
        <f t="shared" si="1"/>
        <v>0</v>
      </c>
    </row>
    <row r="34" s="2" customFormat="1" ht="18" customHeight="1" spans="1:16">
      <c r="A34" s="9" t="s">
        <v>91</v>
      </c>
      <c r="B34" s="17" t="s">
        <v>92</v>
      </c>
      <c r="C34" s="8" t="s">
        <v>32</v>
      </c>
      <c r="D34" s="8">
        <v>0</v>
      </c>
      <c r="E34" s="8"/>
      <c r="F34" s="10"/>
      <c r="G34" s="10"/>
      <c r="H34" s="10"/>
      <c r="I34" s="10"/>
      <c r="J34" s="8">
        <f t="shared" si="0"/>
        <v>0</v>
      </c>
      <c r="K34" s="25"/>
      <c r="L34" s="25"/>
      <c r="M34" s="25"/>
      <c r="N34" s="25"/>
      <c r="O34" s="25"/>
      <c r="P34" s="25">
        <f t="shared" si="1"/>
        <v>0</v>
      </c>
    </row>
    <row r="35" s="2" customFormat="1" ht="18" customHeight="1" spans="1:16">
      <c r="A35" s="9" t="s">
        <v>93</v>
      </c>
      <c r="B35" s="16" t="s">
        <v>94</v>
      </c>
      <c r="C35" s="8" t="s">
        <v>29</v>
      </c>
      <c r="D35" s="8">
        <v>0</v>
      </c>
      <c r="E35" s="8"/>
      <c r="F35" s="10"/>
      <c r="G35" s="10"/>
      <c r="H35" s="10"/>
      <c r="I35" s="10"/>
      <c r="J35" s="8">
        <f t="shared" si="0"/>
        <v>0</v>
      </c>
      <c r="K35" s="25"/>
      <c r="L35" s="25"/>
      <c r="M35" s="25"/>
      <c r="N35" s="25"/>
      <c r="O35" s="25"/>
      <c r="P35" s="25">
        <f t="shared" si="1"/>
        <v>0</v>
      </c>
    </row>
    <row r="36" s="2" customFormat="1" ht="18" customHeight="1" spans="1:16">
      <c r="A36" s="9" t="s">
        <v>93</v>
      </c>
      <c r="B36" s="16" t="s">
        <v>94</v>
      </c>
      <c r="C36" s="8" t="s">
        <v>35</v>
      </c>
      <c r="D36" s="8">
        <v>51.22</v>
      </c>
      <c r="E36" s="8">
        <f>22.04</f>
        <v>22.04</v>
      </c>
      <c r="F36" s="10"/>
      <c r="G36" s="10"/>
      <c r="H36" s="10"/>
      <c r="I36" s="10"/>
      <c r="J36" s="8">
        <f t="shared" si="0"/>
        <v>73.26</v>
      </c>
      <c r="K36" s="25">
        <v>73.26</v>
      </c>
      <c r="L36" s="25"/>
      <c r="M36" s="25"/>
      <c r="N36" s="25"/>
      <c r="O36" s="25"/>
      <c r="P36" s="25">
        <f t="shared" si="1"/>
        <v>73.26</v>
      </c>
    </row>
    <row r="37" s="2" customFormat="1" ht="18" customHeight="1" spans="1:16">
      <c r="A37" s="11" t="s">
        <v>95</v>
      </c>
      <c r="B37" s="16" t="s">
        <v>96</v>
      </c>
      <c r="C37" s="8" t="s">
        <v>29</v>
      </c>
      <c r="D37" s="8">
        <v>0</v>
      </c>
      <c r="E37" s="8"/>
      <c r="F37" s="10"/>
      <c r="G37" s="10"/>
      <c r="H37" s="10"/>
      <c r="I37" s="10"/>
      <c r="J37" s="8">
        <f t="shared" si="0"/>
        <v>0</v>
      </c>
      <c r="K37" s="25"/>
      <c r="L37" s="25"/>
      <c r="M37" s="25"/>
      <c r="N37" s="25"/>
      <c r="O37" s="25"/>
      <c r="P37" s="25">
        <f t="shared" si="1"/>
        <v>0</v>
      </c>
    </row>
    <row r="38" s="2" customFormat="1" ht="18" customHeight="1" spans="1:16">
      <c r="A38" s="11" t="s">
        <v>97</v>
      </c>
      <c r="B38" s="44" t="s">
        <v>98</v>
      </c>
      <c r="C38" s="4" t="s">
        <v>29</v>
      </c>
      <c r="D38" s="8">
        <v>0</v>
      </c>
      <c r="E38" s="8"/>
      <c r="F38" s="10"/>
      <c r="G38" s="10"/>
      <c r="H38" s="10"/>
      <c r="I38" s="10"/>
      <c r="J38" s="8">
        <f t="shared" si="0"/>
        <v>0</v>
      </c>
      <c r="K38" s="25"/>
      <c r="L38" s="25"/>
      <c r="M38" s="25"/>
      <c r="N38" s="25"/>
      <c r="O38" s="25"/>
      <c r="P38" s="25">
        <f t="shared" si="1"/>
        <v>0</v>
      </c>
    </row>
    <row r="39" s="2" customFormat="1" ht="18" customHeight="1" spans="1:16">
      <c r="A39" s="11" t="s">
        <v>99</v>
      </c>
      <c r="B39" s="44" t="s">
        <v>98</v>
      </c>
      <c r="C39" s="12" t="s">
        <v>35</v>
      </c>
      <c r="D39" s="8">
        <v>0</v>
      </c>
      <c r="E39" s="8"/>
      <c r="F39" s="10"/>
      <c r="G39" s="10"/>
      <c r="H39" s="10"/>
      <c r="I39" s="10"/>
      <c r="J39" s="8">
        <f t="shared" si="0"/>
        <v>0</v>
      </c>
      <c r="K39" s="25"/>
      <c r="L39" s="25"/>
      <c r="M39" s="25"/>
      <c r="N39" s="25"/>
      <c r="O39" s="25"/>
      <c r="P39" s="25">
        <f t="shared" si="1"/>
        <v>0</v>
      </c>
    </row>
    <row r="40" s="2" customFormat="1" ht="18" customHeight="1" spans="1:16">
      <c r="A40" s="11" t="s">
        <v>100</v>
      </c>
      <c r="B40" s="8" t="s">
        <v>101</v>
      </c>
      <c r="C40" s="12" t="s">
        <v>35</v>
      </c>
      <c r="D40" s="8">
        <v>0</v>
      </c>
      <c r="E40" s="8"/>
      <c r="F40" s="10"/>
      <c r="G40" s="10"/>
      <c r="H40" s="10"/>
      <c r="I40" s="10"/>
      <c r="J40" s="8">
        <f t="shared" si="0"/>
        <v>0</v>
      </c>
      <c r="K40" s="25"/>
      <c r="L40" s="25"/>
      <c r="M40" s="25"/>
      <c r="N40" s="25"/>
      <c r="O40" s="25"/>
      <c r="P40" s="25">
        <f t="shared" si="1"/>
        <v>0</v>
      </c>
    </row>
    <row r="41" s="2" customFormat="1" ht="18" customHeight="1" spans="1:16">
      <c r="A41" s="9" t="s">
        <v>102</v>
      </c>
      <c r="B41" s="8" t="s">
        <v>101</v>
      </c>
      <c r="C41" s="8" t="s">
        <v>32</v>
      </c>
      <c r="D41" s="8">
        <v>14.537</v>
      </c>
      <c r="E41" s="8">
        <f>0.46+17.625+17.4845</f>
        <v>35.5695</v>
      </c>
      <c r="F41" s="10">
        <f>14.537+0.46+2.875+14.75</f>
        <v>32.622</v>
      </c>
      <c r="G41" s="10"/>
      <c r="H41" s="10"/>
      <c r="I41" s="10"/>
      <c r="J41" s="8">
        <f t="shared" si="0"/>
        <v>17.4845</v>
      </c>
      <c r="K41" s="25"/>
      <c r="L41" s="25">
        <v>17.4845</v>
      </c>
      <c r="M41" s="25"/>
      <c r="N41" s="25"/>
      <c r="O41" s="25"/>
      <c r="P41" s="25">
        <f t="shared" si="1"/>
        <v>17.4845</v>
      </c>
    </row>
    <row r="42" s="2" customFormat="1" ht="18" customHeight="1" spans="1:16">
      <c r="A42" s="12" t="s">
        <v>103</v>
      </c>
      <c r="B42" s="8" t="s">
        <v>101</v>
      </c>
      <c r="C42" s="8" t="s">
        <v>29</v>
      </c>
      <c r="D42" s="8">
        <v>30.943</v>
      </c>
      <c r="E42" s="8"/>
      <c r="F42" s="10"/>
      <c r="G42" s="10"/>
      <c r="H42" s="10"/>
      <c r="I42" s="10"/>
      <c r="J42" s="8">
        <f t="shared" si="0"/>
        <v>30.943</v>
      </c>
      <c r="K42" s="25">
        <v>15.183</v>
      </c>
      <c r="L42" s="25"/>
      <c r="M42" s="25"/>
      <c r="N42" s="25">
        <v>15.76</v>
      </c>
      <c r="O42" s="25"/>
      <c r="P42" s="25">
        <f t="shared" si="1"/>
        <v>30.943</v>
      </c>
    </row>
    <row r="43" s="2" customFormat="1" ht="18" customHeight="1" spans="1:16">
      <c r="A43" s="9" t="s">
        <v>104</v>
      </c>
      <c r="B43" s="8" t="s">
        <v>105</v>
      </c>
      <c r="C43" s="8" t="s">
        <v>29</v>
      </c>
      <c r="D43" s="8">
        <v>7.24</v>
      </c>
      <c r="E43" s="8">
        <f>1</f>
        <v>1</v>
      </c>
      <c r="F43" s="10"/>
      <c r="G43" s="10"/>
      <c r="H43" s="10"/>
      <c r="I43" s="10"/>
      <c r="J43" s="8">
        <f t="shared" si="0"/>
        <v>8.24</v>
      </c>
      <c r="K43" s="25">
        <v>4.52</v>
      </c>
      <c r="L43" s="25">
        <v>1</v>
      </c>
      <c r="M43" s="25"/>
      <c r="N43" s="25">
        <v>2.72</v>
      </c>
      <c r="O43" s="25"/>
      <c r="P43" s="25">
        <f t="shared" si="1"/>
        <v>8.24</v>
      </c>
    </row>
    <row r="44" s="2" customFormat="1" ht="18" customHeight="1" spans="1:16">
      <c r="A44" s="11" t="s">
        <v>106</v>
      </c>
      <c r="B44" s="8" t="s">
        <v>105</v>
      </c>
      <c r="C44" s="8" t="s">
        <v>35</v>
      </c>
      <c r="D44" s="8">
        <v>0</v>
      </c>
      <c r="E44" s="8"/>
      <c r="F44" s="10"/>
      <c r="G44" s="10"/>
      <c r="H44" s="10"/>
      <c r="I44" s="10"/>
      <c r="J44" s="8">
        <f t="shared" si="0"/>
        <v>0</v>
      </c>
      <c r="K44" s="25"/>
      <c r="L44" s="25"/>
      <c r="M44" s="25"/>
      <c r="N44" s="25"/>
      <c r="O44" s="25"/>
      <c r="P44" s="25">
        <f t="shared" si="1"/>
        <v>0</v>
      </c>
    </row>
    <row r="45" s="2" customFormat="1" ht="18" customHeight="1" spans="1:16">
      <c r="A45" s="18" t="s">
        <v>107</v>
      </c>
      <c r="B45" s="8" t="s">
        <v>108</v>
      </c>
      <c r="C45" s="8" t="s">
        <v>35</v>
      </c>
      <c r="D45" s="8">
        <v>0</v>
      </c>
      <c r="E45" s="8"/>
      <c r="F45" s="10"/>
      <c r="G45" s="10"/>
      <c r="H45" s="10"/>
      <c r="I45" s="10"/>
      <c r="J45" s="8">
        <f t="shared" si="0"/>
        <v>0</v>
      </c>
      <c r="K45" s="25"/>
      <c r="L45" s="25"/>
      <c r="M45" s="25"/>
      <c r="N45" s="25"/>
      <c r="O45" s="25"/>
      <c r="P45" s="25">
        <f t="shared" si="1"/>
        <v>0</v>
      </c>
    </row>
    <row r="46" s="2" customFormat="1" ht="18" customHeight="1" spans="1:16">
      <c r="A46" s="18" t="s">
        <v>109</v>
      </c>
      <c r="B46" s="8" t="s">
        <v>110</v>
      </c>
      <c r="C46" s="8" t="s">
        <v>29</v>
      </c>
      <c r="D46" s="8">
        <v>0</v>
      </c>
      <c r="E46" s="8">
        <f>0.795</f>
        <v>0.795</v>
      </c>
      <c r="F46" s="10">
        <f>0.795</f>
        <v>0.795</v>
      </c>
      <c r="G46" s="10"/>
      <c r="H46" s="10"/>
      <c r="I46" s="10"/>
      <c r="J46" s="8">
        <f t="shared" si="0"/>
        <v>0</v>
      </c>
      <c r="K46" s="25"/>
      <c r="L46" s="25"/>
      <c r="M46" s="25"/>
      <c r="N46" s="25"/>
      <c r="O46" s="25"/>
      <c r="P46" s="25">
        <f t="shared" si="1"/>
        <v>0</v>
      </c>
    </row>
    <row r="47" s="2" customFormat="1" ht="18" customHeight="1" spans="1:16">
      <c r="A47" s="11" t="s">
        <v>111</v>
      </c>
      <c r="B47" s="8" t="s">
        <v>110</v>
      </c>
      <c r="C47" s="8" t="s">
        <v>35</v>
      </c>
      <c r="D47" s="8">
        <v>0</v>
      </c>
      <c r="E47" s="8">
        <f>0.041+5.318</f>
        <v>5.359</v>
      </c>
      <c r="F47" s="10">
        <f>0.041</f>
        <v>0.041</v>
      </c>
      <c r="G47" s="10"/>
      <c r="H47" s="10"/>
      <c r="I47" s="10"/>
      <c r="J47" s="8">
        <f t="shared" si="0"/>
        <v>5.318</v>
      </c>
      <c r="K47" s="25">
        <v>5.318</v>
      </c>
      <c r="L47" s="25"/>
      <c r="M47" s="25"/>
      <c r="N47" s="25"/>
      <c r="O47" s="25"/>
      <c r="P47" s="25">
        <f t="shared" si="1"/>
        <v>5.318</v>
      </c>
    </row>
    <row r="48" s="2" customFormat="1" ht="18" customHeight="1" spans="1:16">
      <c r="A48" s="11" t="s">
        <v>112</v>
      </c>
      <c r="B48" s="8" t="s">
        <v>113</v>
      </c>
      <c r="C48" s="8" t="s">
        <v>35</v>
      </c>
      <c r="D48" s="8">
        <v>74.112</v>
      </c>
      <c r="E48" s="8">
        <f>13.12+3.416+3.3+3.416</f>
        <v>23.252</v>
      </c>
      <c r="F48" s="10">
        <f>4+7.56+10+13.04+20.7+5+17.932+6.716</f>
        <v>84.948</v>
      </c>
      <c r="G48" s="10"/>
      <c r="H48" s="10"/>
      <c r="I48" s="10"/>
      <c r="J48" s="8">
        <f t="shared" si="0"/>
        <v>12.416</v>
      </c>
      <c r="K48" s="25">
        <f>9</f>
        <v>9</v>
      </c>
      <c r="L48" s="25">
        <v>3.416</v>
      </c>
      <c r="M48" s="25"/>
      <c r="N48" s="25"/>
      <c r="O48" s="25"/>
      <c r="P48" s="25">
        <f t="shared" si="1"/>
        <v>12.416</v>
      </c>
    </row>
    <row r="49" s="2" customFormat="1" ht="18" customHeight="1" spans="1:16">
      <c r="A49" s="19" t="s">
        <v>114</v>
      </c>
      <c r="B49" s="8" t="s">
        <v>113</v>
      </c>
      <c r="C49" s="8" t="s">
        <v>29</v>
      </c>
      <c r="D49" s="4">
        <v>66.36</v>
      </c>
      <c r="E49" s="4">
        <f>6.8305</f>
        <v>6.8305</v>
      </c>
      <c r="F49" s="10">
        <f>7.22+1.0105</f>
        <v>8.2305</v>
      </c>
      <c r="G49" s="10"/>
      <c r="H49" s="10"/>
      <c r="I49" s="10"/>
      <c r="J49" s="8">
        <f t="shared" si="0"/>
        <v>64.96</v>
      </c>
      <c r="K49" s="25">
        <v>21.12</v>
      </c>
      <c r="L49" s="25">
        <v>38.94</v>
      </c>
      <c r="M49" s="25"/>
      <c r="N49" s="25">
        <v>4.9</v>
      </c>
      <c r="O49" s="25"/>
      <c r="P49" s="25">
        <f t="shared" si="1"/>
        <v>64.96</v>
      </c>
    </row>
    <row r="50" s="2" customFormat="1" ht="18" customHeight="1" spans="1:16">
      <c r="A50" s="11" t="s">
        <v>100</v>
      </c>
      <c r="B50" s="8" t="s">
        <v>113</v>
      </c>
      <c r="C50" s="8" t="s">
        <v>32</v>
      </c>
      <c r="D50" s="4">
        <v>101.353</v>
      </c>
      <c r="E50" s="4">
        <f>5.1565+7.147+26.42</f>
        <v>38.7235</v>
      </c>
      <c r="F50" s="10">
        <f>10.332+13.37+5.931+5.1565</f>
        <v>34.7895</v>
      </c>
      <c r="G50" s="10"/>
      <c r="H50" s="10"/>
      <c r="I50" s="10"/>
      <c r="J50" s="8">
        <f t="shared" si="0"/>
        <v>105.287</v>
      </c>
      <c r="K50" s="25">
        <v>26.42</v>
      </c>
      <c r="L50" s="25">
        <v>78.867</v>
      </c>
      <c r="M50" s="25"/>
      <c r="N50" s="25"/>
      <c r="O50" s="25"/>
      <c r="P50" s="25">
        <f t="shared" si="1"/>
        <v>105.287</v>
      </c>
    </row>
    <row r="51" s="2" customFormat="1" ht="18" customHeight="1" spans="1:16">
      <c r="A51" s="20" t="s">
        <v>115</v>
      </c>
      <c r="B51" s="8" t="s">
        <v>113</v>
      </c>
      <c r="C51" s="8" t="s">
        <v>29</v>
      </c>
      <c r="D51" s="8">
        <v>0</v>
      </c>
      <c r="E51" s="8"/>
      <c r="F51" s="10"/>
      <c r="G51" s="10"/>
      <c r="H51" s="10"/>
      <c r="I51" s="10"/>
      <c r="J51" s="8">
        <f t="shared" si="0"/>
        <v>0</v>
      </c>
      <c r="K51" s="25"/>
      <c r="L51" s="25"/>
      <c r="M51" s="25"/>
      <c r="N51" s="25"/>
      <c r="O51" s="25"/>
      <c r="P51" s="25">
        <f t="shared" si="1"/>
        <v>0</v>
      </c>
    </row>
    <row r="52" s="2" customFormat="1" ht="18" customHeight="1" spans="1:16">
      <c r="A52" s="9" t="s">
        <v>116</v>
      </c>
      <c r="B52" s="8" t="s">
        <v>117</v>
      </c>
      <c r="C52" s="8" t="s">
        <v>32</v>
      </c>
      <c r="D52" s="8">
        <v>28.048</v>
      </c>
      <c r="E52" s="8"/>
      <c r="F52" s="10">
        <f>14.886+13.162</f>
        <v>28.048</v>
      </c>
      <c r="G52" s="10"/>
      <c r="H52" s="10"/>
      <c r="I52" s="10"/>
      <c r="J52" s="8">
        <f t="shared" si="0"/>
        <v>0</v>
      </c>
      <c r="K52" s="25"/>
      <c r="L52" s="25"/>
      <c r="M52" s="25"/>
      <c r="N52" s="25"/>
      <c r="O52" s="25"/>
      <c r="P52" s="25">
        <f t="shared" si="1"/>
        <v>0</v>
      </c>
    </row>
    <row r="53" s="2" customFormat="1" ht="18" customHeight="1" spans="1:16">
      <c r="A53" s="21" t="s">
        <v>118</v>
      </c>
      <c r="B53" s="8" t="s">
        <v>117</v>
      </c>
      <c r="C53" s="8" t="s">
        <v>29</v>
      </c>
      <c r="D53" s="8">
        <v>0</v>
      </c>
      <c r="E53" s="8"/>
      <c r="F53" s="10"/>
      <c r="G53" s="10"/>
      <c r="H53" s="10"/>
      <c r="I53" s="10"/>
      <c r="J53" s="8">
        <f t="shared" si="0"/>
        <v>0</v>
      </c>
      <c r="K53" s="25"/>
      <c r="L53" s="25"/>
      <c r="M53" s="25"/>
      <c r="N53" s="25"/>
      <c r="O53" s="25"/>
      <c r="P53" s="25">
        <f t="shared" si="1"/>
        <v>0</v>
      </c>
    </row>
    <row r="54" s="2" customFormat="1" ht="18" customHeight="1" spans="1:16">
      <c r="A54" s="12" t="s">
        <v>119</v>
      </c>
      <c r="B54" s="16" t="s">
        <v>120</v>
      </c>
      <c r="C54" s="8" t="s">
        <v>29</v>
      </c>
      <c r="D54" s="8">
        <v>62.9038</v>
      </c>
      <c r="E54" s="8">
        <f>2.356+0.22+26.02+0.04+0.14045+4.2435+0.0655</f>
        <v>33.08545</v>
      </c>
      <c r="F54" s="10"/>
      <c r="G54" s="10">
        <f>1.3+1.74+5.87+0.495</f>
        <v>9.405</v>
      </c>
      <c r="H54" s="10"/>
      <c r="I54" s="10"/>
      <c r="J54" s="8">
        <f t="shared" si="0"/>
        <v>86.58425</v>
      </c>
      <c r="K54" s="25">
        <v>24.2</v>
      </c>
      <c r="L54" s="25"/>
      <c r="M54" s="25"/>
      <c r="N54" s="25">
        <v>62.38425</v>
      </c>
      <c r="O54" s="25"/>
      <c r="P54" s="25">
        <f t="shared" si="1"/>
        <v>86.58425</v>
      </c>
    </row>
    <row r="55" s="2" customFormat="1" ht="18" customHeight="1" spans="1:16">
      <c r="A55" s="12" t="s">
        <v>121</v>
      </c>
      <c r="B55" s="16" t="s">
        <v>120</v>
      </c>
      <c r="C55" s="8" t="s">
        <v>35</v>
      </c>
      <c r="D55" s="8">
        <v>0</v>
      </c>
      <c r="E55" s="8"/>
      <c r="F55" s="10"/>
      <c r="G55" s="10"/>
      <c r="H55" s="10"/>
      <c r="I55" s="10"/>
      <c r="J55" s="8">
        <f t="shared" si="0"/>
        <v>0</v>
      </c>
      <c r="K55" s="25"/>
      <c r="L55" s="25"/>
      <c r="M55" s="25"/>
      <c r="N55" s="25"/>
      <c r="O55" s="25"/>
      <c r="P55" s="25">
        <f t="shared" si="1"/>
        <v>0</v>
      </c>
    </row>
    <row r="56" s="2" customFormat="1" ht="18" customHeight="1" spans="1:16">
      <c r="A56" s="11" t="s">
        <v>119</v>
      </c>
      <c r="B56" s="22" t="s">
        <v>122</v>
      </c>
      <c r="C56" s="8" t="s">
        <v>29</v>
      </c>
      <c r="D56" s="8">
        <v>90.75385</v>
      </c>
      <c r="E56" s="8">
        <f>1.02+0.2+0.01</f>
        <v>1.23</v>
      </c>
      <c r="F56" s="10"/>
      <c r="G56" s="10">
        <f>0.28595+0.2+0.3</f>
        <v>0.78595</v>
      </c>
      <c r="H56" s="10"/>
      <c r="I56" s="10"/>
      <c r="J56" s="8">
        <f t="shared" si="0"/>
        <v>91.1979</v>
      </c>
      <c r="K56" s="25"/>
      <c r="L56" s="25"/>
      <c r="M56" s="25"/>
      <c r="N56" s="25">
        <v>91.1979</v>
      </c>
      <c r="O56" s="25"/>
      <c r="P56" s="25">
        <f t="shared" si="1"/>
        <v>91.1979</v>
      </c>
    </row>
    <row r="57" s="2" customFormat="1" ht="18" customHeight="1" spans="1:16">
      <c r="A57" s="9" t="s">
        <v>123</v>
      </c>
      <c r="B57" s="22" t="s">
        <v>122</v>
      </c>
      <c r="C57" s="8" t="s">
        <v>32</v>
      </c>
      <c r="D57" s="8">
        <v>0</v>
      </c>
      <c r="E57" s="23"/>
      <c r="F57" s="10"/>
      <c r="G57" s="10"/>
      <c r="H57" s="10"/>
      <c r="I57" s="10"/>
      <c r="J57" s="8">
        <f t="shared" si="0"/>
        <v>0</v>
      </c>
      <c r="K57" s="25"/>
      <c r="L57" s="25"/>
      <c r="M57" s="25"/>
      <c r="N57" s="25"/>
      <c r="O57" s="25"/>
      <c r="P57" s="25">
        <f t="shared" si="1"/>
        <v>0</v>
      </c>
    </row>
    <row r="58" s="2" customFormat="1" ht="18" customHeight="1" spans="1:16">
      <c r="A58" s="11" t="s">
        <v>124</v>
      </c>
      <c r="B58" s="16" t="s">
        <v>125</v>
      </c>
      <c r="C58" s="8" t="s">
        <v>29</v>
      </c>
      <c r="D58" s="8">
        <v>41.283</v>
      </c>
      <c r="E58" s="8">
        <f>0.085+0.05+0.3</f>
        <v>0.435</v>
      </c>
      <c r="F58" s="10"/>
      <c r="G58" s="10">
        <f>0.58+4.66+0.42+0.175</f>
        <v>5.835</v>
      </c>
      <c r="H58" s="10"/>
      <c r="I58" s="10"/>
      <c r="J58" s="8">
        <f t="shared" si="0"/>
        <v>35.883</v>
      </c>
      <c r="K58" s="25"/>
      <c r="L58" s="25"/>
      <c r="M58" s="25"/>
      <c r="N58" s="25">
        <v>35.883</v>
      </c>
      <c r="O58" s="25"/>
      <c r="P58" s="25">
        <f t="shared" si="1"/>
        <v>35.883</v>
      </c>
    </row>
    <row r="59" s="2" customFormat="1" ht="18" customHeight="1" spans="1:16">
      <c r="A59" s="11" t="s">
        <v>126</v>
      </c>
      <c r="B59" s="16" t="s">
        <v>127</v>
      </c>
      <c r="C59" s="8" t="s">
        <v>29</v>
      </c>
      <c r="D59" s="8">
        <v>14.28</v>
      </c>
      <c r="E59" s="8">
        <f>0.16</f>
        <v>0.16</v>
      </c>
      <c r="F59" s="10"/>
      <c r="G59" s="10">
        <f>0.68</f>
        <v>0.68</v>
      </c>
      <c r="H59" s="10"/>
      <c r="I59" s="10"/>
      <c r="J59" s="8">
        <f t="shared" si="0"/>
        <v>13.76</v>
      </c>
      <c r="K59" s="25"/>
      <c r="L59" s="25"/>
      <c r="M59" s="25"/>
      <c r="N59" s="25">
        <v>13.76</v>
      </c>
      <c r="O59" s="25"/>
      <c r="P59" s="25">
        <f t="shared" si="1"/>
        <v>13.76</v>
      </c>
    </row>
    <row r="60" s="2" customFormat="1" ht="18" customHeight="1" spans="1:16">
      <c r="A60" s="24" t="s">
        <v>128</v>
      </c>
      <c r="B60" s="16" t="s">
        <v>129</v>
      </c>
      <c r="C60" s="8" t="s">
        <v>29</v>
      </c>
      <c r="D60" s="8">
        <v>2.6</v>
      </c>
      <c r="E60" s="8">
        <f>0.8</f>
        <v>0.8</v>
      </c>
      <c r="F60" s="10"/>
      <c r="G60" s="10"/>
      <c r="H60" s="10"/>
      <c r="I60" s="10"/>
      <c r="J60" s="8">
        <f t="shared" si="0"/>
        <v>3.4</v>
      </c>
      <c r="K60" s="25"/>
      <c r="L60" s="25"/>
      <c r="M60" s="25"/>
      <c r="N60" s="25">
        <v>3.4</v>
      </c>
      <c r="O60" s="25"/>
      <c r="P60" s="25">
        <f t="shared" si="1"/>
        <v>3.4</v>
      </c>
    </row>
    <row r="61" s="2" customFormat="1" ht="18" customHeight="1" spans="1:16">
      <c r="A61" s="11" t="s">
        <v>130</v>
      </c>
      <c r="B61" s="16" t="s">
        <v>129</v>
      </c>
      <c r="C61" s="8" t="s">
        <v>32</v>
      </c>
      <c r="D61" s="8">
        <v>0</v>
      </c>
      <c r="E61" s="8"/>
      <c r="F61" s="10"/>
      <c r="G61" s="10"/>
      <c r="H61" s="10"/>
      <c r="I61" s="10"/>
      <c r="J61" s="8">
        <f t="shared" si="0"/>
        <v>0</v>
      </c>
      <c r="K61" s="25"/>
      <c r="L61" s="25"/>
      <c r="M61" s="25"/>
      <c r="N61" s="25"/>
      <c r="O61" s="25"/>
      <c r="P61" s="25">
        <f t="shared" si="1"/>
        <v>0</v>
      </c>
    </row>
    <row r="62" s="2" customFormat="1" ht="18" customHeight="1" spans="1:16">
      <c r="A62" s="9" t="s">
        <v>131</v>
      </c>
      <c r="B62" s="16" t="s">
        <v>132</v>
      </c>
      <c r="C62" s="8" t="s">
        <v>32</v>
      </c>
      <c r="D62" s="8">
        <v>0</v>
      </c>
      <c r="E62" s="8"/>
      <c r="F62" s="10"/>
      <c r="G62" s="10"/>
      <c r="H62" s="10"/>
      <c r="I62" s="10"/>
      <c r="J62" s="8">
        <f t="shared" si="0"/>
        <v>0</v>
      </c>
      <c r="K62" s="25"/>
      <c r="L62" s="25"/>
      <c r="M62" s="25"/>
      <c r="N62" s="25"/>
      <c r="O62" s="25"/>
      <c r="P62" s="25">
        <f t="shared" si="1"/>
        <v>0</v>
      </c>
    </row>
    <row r="63" s="2" customFormat="1" ht="18" customHeight="1" spans="1:16">
      <c r="A63" s="11" t="s">
        <v>119</v>
      </c>
      <c r="B63" s="16" t="s">
        <v>133</v>
      </c>
      <c r="C63" s="8" t="s">
        <v>29</v>
      </c>
      <c r="D63" s="8">
        <v>155.80282</v>
      </c>
      <c r="E63" s="8">
        <f>57.62+5.451+0.09+1.455+1.292+0.01+8.84</f>
        <v>74.758</v>
      </c>
      <c r="F63" s="10"/>
      <c r="G63" s="10">
        <f>0.17+0.12+2.27+3.12958+4.0321+1.3117</f>
        <v>11.03338</v>
      </c>
      <c r="H63" s="10"/>
      <c r="I63" s="10"/>
      <c r="J63" s="8">
        <f t="shared" si="0"/>
        <v>219.52744</v>
      </c>
      <c r="K63" s="25">
        <f>3.64</f>
        <v>3.64</v>
      </c>
      <c r="L63" s="25">
        <v>97.36</v>
      </c>
      <c r="M63" s="25"/>
      <c r="N63" s="25">
        <v>118.52744</v>
      </c>
      <c r="O63" s="25"/>
      <c r="P63" s="25">
        <f t="shared" si="1"/>
        <v>219.52744</v>
      </c>
    </row>
    <row r="64" s="2" customFormat="1" ht="18" customHeight="1" spans="1:16">
      <c r="A64" s="11" t="s">
        <v>134</v>
      </c>
      <c r="B64" s="16" t="s">
        <v>133</v>
      </c>
      <c r="C64" s="8" t="s">
        <v>32</v>
      </c>
      <c r="D64" s="8">
        <v>3.34</v>
      </c>
      <c r="E64" s="8">
        <f>6+0.512+0.24+0.32+4.1+0.04+12.4+0.091+5.52</f>
        <v>29.223</v>
      </c>
      <c r="F64" s="10">
        <f>1.1+0.6+1.64+0.28+5.72+0.02+0.015+0.06+0.06+0.165</f>
        <v>9.66</v>
      </c>
      <c r="G64" s="10"/>
      <c r="H64" s="10">
        <f>4.1</f>
        <v>4.1</v>
      </c>
      <c r="I64" s="10"/>
      <c r="J64" s="8">
        <f t="shared" si="0"/>
        <v>18.803</v>
      </c>
      <c r="K64" s="25">
        <v>18.581</v>
      </c>
      <c r="L64" s="25">
        <v>0.222</v>
      </c>
      <c r="M64" s="25"/>
      <c r="N64" s="25"/>
      <c r="O64" s="25"/>
      <c r="P64" s="25">
        <f t="shared" si="1"/>
        <v>18.803</v>
      </c>
    </row>
    <row r="65" s="2" customFormat="1" ht="18" customHeight="1" spans="1:16">
      <c r="A65" s="11" t="s">
        <v>135</v>
      </c>
      <c r="B65" s="16" t="s">
        <v>133</v>
      </c>
      <c r="C65" s="8" t="s">
        <v>35</v>
      </c>
      <c r="D65" s="8">
        <v>0</v>
      </c>
      <c r="E65" s="8">
        <f>7.26</f>
        <v>7.26</v>
      </c>
      <c r="F65" s="10"/>
      <c r="G65" s="10"/>
      <c r="H65" s="10"/>
      <c r="I65" s="10"/>
      <c r="J65" s="8">
        <f t="shared" si="0"/>
        <v>7.26</v>
      </c>
      <c r="K65" s="25">
        <v>7.26</v>
      </c>
      <c r="L65" s="25"/>
      <c r="M65" s="25"/>
      <c r="N65" s="25"/>
      <c r="O65" s="25"/>
      <c r="P65" s="25">
        <f t="shared" si="1"/>
        <v>7.26</v>
      </c>
    </row>
    <row r="66" s="2" customFormat="1" ht="18" customHeight="1" spans="1:16">
      <c r="A66" s="34" t="s">
        <v>136</v>
      </c>
      <c r="B66" s="8" t="s">
        <v>137</v>
      </c>
      <c r="C66" s="8" t="s">
        <v>29</v>
      </c>
      <c r="D66" s="8">
        <v>28.5685</v>
      </c>
      <c r="E66" s="8">
        <f>0.2+3.914+3.711+1.1265+2.6+1.016+3.182</f>
        <v>15.7495</v>
      </c>
      <c r="F66" s="10">
        <f>1.925</f>
        <v>1.925</v>
      </c>
      <c r="G66" s="10">
        <f>0.897+6.598</f>
        <v>7.495</v>
      </c>
      <c r="H66" s="10"/>
      <c r="I66" s="10"/>
      <c r="J66" s="8">
        <f t="shared" si="0"/>
        <v>34.898</v>
      </c>
      <c r="K66" s="25"/>
      <c r="L66" s="25">
        <v>34.898</v>
      </c>
      <c r="M66" s="25"/>
      <c r="N66" s="25"/>
      <c r="O66" s="25"/>
      <c r="P66" s="25">
        <f t="shared" si="1"/>
        <v>34.898</v>
      </c>
    </row>
    <row r="67" s="2" customFormat="1" ht="18" customHeight="1" spans="1:16">
      <c r="A67" s="11" t="s">
        <v>138</v>
      </c>
      <c r="B67" s="8" t="s">
        <v>137</v>
      </c>
      <c r="C67" s="8" t="s">
        <v>35</v>
      </c>
      <c r="D67" s="8">
        <v>10.8</v>
      </c>
      <c r="E67" s="8">
        <f>6.4765</f>
        <v>6.4765</v>
      </c>
      <c r="F67" s="10"/>
      <c r="G67" s="10"/>
      <c r="H67" s="10"/>
      <c r="I67" s="10"/>
      <c r="J67" s="8">
        <f t="shared" si="0"/>
        <v>17.2765</v>
      </c>
      <c r="K67" s="25"/>
      <c r="L67" s="25">
        <v>17.2765</v>
      </c>
      <c r="M67" s="25"/>
      <c r="N67" s="25"/>
      <c r="O67" s="25"/>
      <c r="P67" s="25">
        <f t="shared" si="1"/>
        <v>17.2765</v>
      </c>
    </row>
    <row r="68" s="2" customFormat="1" ht="18" customHeight="1" spans="1:16">
      <c r="A68" s="11" t="s">
        <v>139</v>
      </c>
      <c r="B68" s="8" t="s">
        <v>140</v>
      </c>
      <c r="C68" s="8" t="s">
        <v>29</v>
      </c>
      <c r="D68" s="8">
        <v>0</v>
      </c>
      <c r="E68" s="8"/>
      <c r="F68" s="10"/>
      <c r="G68" s="10"/>
      <c r="H68" s="10"/>
      <c r="I68" s="10"/>
      <c r="J68" s="8">
        <f t="shared" ref="J68:J131" si="3">D68+E68-F68-G68-H68-I68</f>
        <v>0</v>
      </c>
      <c r="K68" s="25"/>
      <c r="L68" s="25"/>
      <c r="M68" s="25"/>
      <c r="N68" s="25"/>
      <c r="O68" s="25"/>
      <c r="P68" s="25">
        <f t="shared" ref="P68:P131" si="4">K68+L68+M68+N68+O68</f>
        <v>0</v>
      </c>
    </row>
    <row r="69" s="2" customFormat="1" ht="18" customHeight="1" spans="1:16">
      <c r="A69" s="11" t="s">
        <v>139</v>
      </c>
      <c r="B69" s="35" t="s">
        <v>141</v>
      </c>
      <c r="C69" s="8" t="s">
        <v>29</v>
      </c>
      <c r="D69" s="8">
        <v>114.163</v>
      </c>
      <c r="E69" s="8">
        <f>0.88+5.6495+1.41+0.7+4.5</f>
        <v>13.1395</v>
      </c>
      <c r="F69" s="10">
        <f>4</f>
        <v>4</v>
      </c>
      <c r="G69" s="10">
        <f>8.5+12.3+0.1</f>
        <v>20.9</v>
      </c>
      <c r="H69" s="10"/>
      <c r="I69" s="10"/>
      <c r="J69" s="8">
        <f t="shared" si="3"/>
        <v>102.4025</v>
      </c>
      <c r="K69" s="25"/>
      <c r="L69" s="25">
        <v>102.4025</v>
      </c>
      <c r="M69" s="25"/>
      <c r="N69" s="25"/>
      <c r="O69" s="25"/>
      <c r="P69" s="25">
        <f t="shared" si="4"/>
        <v>102.4025</v>
      </c>
    </row>
    <row r="70" s="2" customFormat="1" ht="18" customHeight="1" spans="1:16">
      <c r="A70" s="11" t="s">
        <v>142</v>
      </c>
      <c r="B70" s="8" t="s">
        <v>141</v>
      </c>
      <c r="C70" s="8" t="s">
        <v>32</v>
      </c>
      <c r="D70" s="8">
        <v>0</v>
      </c>
      <c r="E70" s="8">
        <f>2.55</f>
        <v>2.55</v>
      </c>
      <c r="F70" s="10">
        <f>2.55</f>
        <v>2.55</v>
      </c>
      <c r="G70" s="10"/>
      <c r="H70" s="10"/>
      <c r="I70" s="10"/>
      <c r="J70" s="8">
        <f t="shared" si="3"/>
        <v>0</v>
      </c>
      <c r="K70" s="25"/>
      <c r="L70" s="25"/>
      <c r="M70" s="25"/>
      <c r="N70" s="25"/>
      <c r="O70" s="25"/>
      <c r="P70" s="25">
        <f t="shared" si="4"/>
        <v>0</v>
      </c>
    </row>
    <row r="71" s="2" customFormat="1" ht="18" customHeight="1" spans="1:16">
      <c r="A71" s="11" t="s">
        <v>143</v>
      </c>
      <c r="B71" s="8" t="s">
        <v>144</v>
      </c>
      <c r="C71" s="8" t="s">
        <v>32</v>
      </c>
      <c r="D71" s="8">
        <v>0</v>
      </c>
      <c r="E71" s="8"/>
      <c r="F71" s="10"/>
      <c r="G71" s="10"/>
      <c r="H71" s="10"/>
      <c r="I71" s="10"/>
      <c r="J71" s="8">
        <f t="shared" si="3"/>
        <v>0</v>
      </c>
      <c r="K71" s="25"/>
      <c r="L71" s="25"/>
      <c r="M71" s="25"/>
      <c r="N71" s="25"/>
      <c r="O71" s="25"/>
      <c r="P71" s="25">
        <f t="shared" si="4"/>
        <v>0</v>
      </c>
    </row>
    <row r="72" s="2" customFormat="1" ht="18" customHeight="1" spans="1:16">
      <c r="A72" s="9" t="s">
        <v>145</v>
      </c>
      <c r="B72" s="8" t="s">
        <v>146</v>
      </c>
      <c r="C72" s="8" t="s">
        <v>29</v>
      </c>
      <c r="D72" s="8">
        <v>53.64</v>
      </c>
      <c r="E72" s="8">
        <f>14.58</f>
        <v>14.58</v>
      </c>
      <c r="F72" s="10"/>
      <c r="G72" s="10"/>
      <c r="H72" s="10"/>
      <c r="I72" s="10"/>
      <c r="J72" s="8">
        <f t="shared" si="3"/>
        <v>68.22</v>
      </c>
      <c r="K72" s="25"/>
      <c r="L72" s="25">
        <v>68.22</v>
      </c>
      <c r="M72" s="25"/>
      <c r="N72" s="25"/>
      <c r="O72" s="25"/>
      <c r="P72" s="25">
        <f t="shared" si="4"/>
        <v>68.22</v>
      </c>
    </row>
    <row r="73" s="2" customFormat="1" ht="18" customHeight="1" spans="1:16">
      <c r="A73" s="11" t="s">
        <v>147</v>
      </c>
      <c r="B73" s="16" t="s">
        <v>148</v>
      </c>
      <c r="C73" s="8" t="s">
        <v>32</v>
      </c>
      <c r="D73" s="8">
        <v>19.9445</v>
      </c>
      <c r="E73" s="8">
        <f>9.9865</f>
        <v>9.9865</v>
      </c>
      <c r="F73" s="10">
        <f>5.6685+4.56+7.426+9.9865</f>
        <v>27.641</v>
      </c>
      <c r="G73" s="10"/>
      <c r="H73" s="10"/>
      <c r="I73" s="10"/>
      <c r="J73" s="8">
        <f t="shared" si="3"/>
        <v>2.29</v>
      </c>
      <c r="K73" s="25"/>
      <c r="L73" s="25">
        <v>2.29</v>
      </c>
      <c r="M73" s="25"/>
      <c r="N73" s="25"/>
      <c r="O73" s="25"/>
      <c r="P73" s="25">
        <f t="shared" si="4"/>
        <v>2.29</v>
      </c>
    </row>
    <row r="74" s="2" customFormat="1" ht="18" customHeight="1" spans="1:16">
      <c r="A74" s="11" t="s">
        <v>149</v>
      </c>
      <c r="B74" s="16" t="s">
        <v>148</v>
      </c>
      <c r="C74" s="8" t="s">
        <v>29</v>
      </c>
      <c r="D74" s="8">
        <v>44.004</v>
      </c>
      <c r="E74" s="8">
        <f>14.543+26.36</f>
        <v>40.903</v>
      </c>
      <c r="F74" s="10"/>
      <c r="G74" s="10"/>
      <c r="H74" s="10"/>
      <c r="I74" s="10"/>
      <c r="J74" s="8">
        <f t="shared" si="3"/>
        <v>84.907</v>
      </c>
      <c r="K74" s="25">
        <v>47.964</v>
      </c>
      <c r="L74" s="25">
        <v>36.943</v>
      </c>
      <c r="M74" s="25"/>
      <c r="N74" s="25"/>
      <c r="O74" s="25"/>
      <c r="P74" s="25">
        <f t="shared" si="4"/>
        <v>84.907</v>
      </c>
    </row>
    <row r="75" s="2" customFormat="1" ht="18" customHeight="1" spans="1:16">
      <c r="A75" s="11" t="s">
        <v>150</v>
      </c>
      <c r="B75" s="16" t="s">
        <v>148</v>
      </c>
      <c r="C75" s="8" t="s">
        <v>35</v>
      </c>
      <c r="D75" s="8">
        <v>624.5645</v>
      </c>
      <c r="E75" s="8">
        <f>4.5815+22.417</f>
        <v>26.9985</v>
      </c>
      <c r="F75" s="10">
        <f>32.6845+4+3.9+3+22.39+15+6+3+6+6.06+6+6+3+3</f>
        <v>120.0345</v>
      </c>
      <c r="G75" s="10"/>
      <c r="H75" s="10"/>
      <c r="I75" s="10"/>
      <c r="J75" s="8">
        <f t="shared" si="3"/>
        <v>531.5285</v>
      </c>
      <c r="K75" s="25">
        <v>531.5285</v>
      </c>
      <c r="L75" s="25"/>
      <c r="M75" s="25"/>
      <c r="N75" s="25"/>
      <c r="O75" s="25"/>
      <c r="P75" s="25">
        <f t="shared" si="4"/>
        <v>531.5285</v>
      </c>
    </row>
    <row r="76" s="2" customFormat="1" ht="18" customHeight="1" spans="1:16">
      <c r="A76" s="12" t="s">
        <v>149</v>
      </c>
      <c r="B76" s="16" t="s">
        <v>151</v>
      </c>
      <c r="C76" s="8" t="s">
        <v>35</v>
      </c>
      <c r="D76" s="8">
        <v>0</v>
      </c>
      <c r="E76" s="8"/>
      <c r="F76" s="10"/>
      <c r="G76" s="10"/>
      <c r="H76" s="10"/>
      <c r="I76" s="10"/>
      <c r="J76" s="8">
        <f t="shared" si="3"/>
        <v>0</v>
      </c>
      <c r="K76" s="25"/>
      <c r="L76" s="25"/>
      <c r="M76" s="25"/>
      <c r="N76" s="25"/>
      <c r="O76" s="25"/>
      <c r="P76" s="25">
        <f t="shared" si="4"/>
        <v>0</v>
      </c>
    </row>
    <row r="77" s="2" customFormat="1" ht="18" customHeight="1" spans="1:16">
      <c r="A77" s="12" t="s">
        <v>149</v>
      </c>
      <c r="B77" s="16" t="s">
        <v>151</v>
      </c>
      <c r="C77" s="8" t="s">
        <v>29</v>
      </c>
      <c r="D77" s="8">
        <v>1120.92</v>
      </c>
      <c r="E77" s="8">
        <f>50.8+100.88+51.5+48.86+49.62</f>
        <v>301.66</v>
      </c>
      <c r="F77" s="10"/>
      <c r="G77" s="10"/>
      <c r="H77" s="10"/>
      <c r="I77" s="10"/>
      <c r="J77" s="8">
        <f t="shared" si="3"/>
        <v>1422.58</v>
      </c>
      <c r="K77" s="25"/>
      <c r="L77" s="25">
        <v>99.1</v>
      </c>
      <c r="M77" s="25"/>
      <c r="N77" s="25">
        <v>1323.48</v>
      </c>
      <c r="O77" s="25"/>
      <c r="P77" s="25">
        <f t="shared" si="4"/>
        <v>1422.58</v>
      </c>
    </row>
    <row r="78" s="2" customFormat="1" ht="18" customHeight="1" spans="1:16">
      <c r="A78" s="11" t="s">
        <v>152</v>
      </c>
      <c r="B78" s="16" t="s">
        <v>151</v>
      </c>
      <c r="C78" s="8" t="s">
        <v>32</v>
      </c>
      <c r="D78" s="8">
        <v>0</v>
      </c>
      <c r="E78" s="8"/>
      <c r="F78" s="10"/>
      <c r="G78" s="10"/>
      <c r="H78" s="10"/>
      <c r="I78" s="10"/>
      <c r="J78" s="8">
        <f t="shared" si="3"/>
        <v>0</v>
      </c>
      <c r="K78" s="25"/>
      <c r="L78" s="25"/>
      <c r="M78" s="25"/>
      <c r="N78" s="25"/>
      <c r="O78" s="25"/>
      <c r="P78" s="25">
        <f t="shared" si="4"/>
        <v>0</v>
      </c>
    </row>
    <row r="79" s="2" customFormat="1" ht="18" customHeight="1" spans="1:16">
      <c r="A79" s="11" t="s">
        <v>152</v>
      </c>
      <c r="B79" s="16" t="s">
        <v>153</v>
      </c>
      <c r="C79" s="8" t="s">
        <v>35</v>
      </c>
      <c r="D79" s="8">
        <v>0</v>
      </c>
      <c r="E79" s="8"/>
      <c r="F79" s="10"/>
      <c r="G79" s="10"/>
      <c r="H79" s="10"/>
      <c r="I79" s="10"/>
      <c r="J79" s="8">
        <f t="shared" si="3"/>
        <v>0</v>
      </c>
      <c r="K79" s="25"/>
      <c r="L79" s="25"/>
      <c r="M79" s="25"/>
      <c r="N79" s="25"/>
      <c r="O79" s="25"/>
      <c r="P79" s="25">
        <f t="shared" si="4"/>
        <v>0</v>
      </c>
    </row>
    <row r="80" s="2" customFormat="1" ht="18" customHeight="1" spans="1:16">
      <c r="A80" s="11" t="s">
        <v>57</v>
      </c>
      <c r="B80" s="16" t="s">
        <v>154</v>
      </c>
      <c r="C80" s="8" t="s">
        <v>32</v>
      </c>
      <c r="D80" s="8">
        <v>11.77</v>
      </c>
      <c r="E80" s="8">
        <f>13.466</f>
        <v>13.466</v>
      </c>
      <c r="F80" s="10">
        <f>11.77+13.466</f>
        <v>25.236</v>
      </c>
      <c r="G80" s="10"/>
      <c r="H80" s="10"/>
      <c r="I80" s="10"/>
      <c r="J80" s="8">
        <f t="shared" si="3"/>
        <v>0</v>
      </c>
      <c r="K80" s="25"/>
      <c r="L80" s="25"/>
      <c r="M80" s="25"/>
      <c r="N80" s="25"/>
      <c r="O80" s="25"/>
      <c r="P80" s="25">
        <f t="shared" si="4"/>
        <v>0</v>
      </c>
    </row>
    <row r="81" s="2" customFormat="1" ht="18" customHeight="1" spans="1:16">
      <c r="A81" s="11" t="s">
        <v>57</v>
      </c>
      <c r="B81" s="16" t="s">
        <v>154</v>
      </c>
      <c r="C81" s="8" t="s">
        <v>35</v>
      </c>
      <c r="D81" s="8">
        <v>0</v>
      </c>
      <c r="E81" s="8">
        <f>0.53</f>
        <v>0.53</v>
      </c>
      <c r="F81" s="10">
        <f>0.53</f>
        <v>0.53</v>
      </c>
      <c r="G81" s="10"/>
      <c r="H81" s="10"/>
      <c r="I81" s="10"/>
      <c r="J81" s="8">
        <f t="shared" si="3"/>
        <v>0</v>
      </c>
      <c r="K81" s="25"/>
      <c r="L81" s="25"/>
      <c r="M81" s="25"/>
      <c r="N81" s="25"/>
      <c r="O81" s="25"/>
      <c r="P81" s="25">
        <f t="shared" si="4"/>
        <v>0</v>
      </c>
    </row>
    <row r="82" s="2" customFormat="1" ht="18" customHeight="1" spans="1:16">
      <c r="A82" s="11" t="s">
        <v>155</v>
      </c>
      <c r="B82" s="16" t="s">
        <v>156</v>
      </c>
      <c r="C82" s="8" t="s">
        <v>32</v>
      </c>
      <c r="D82" s="8">
        <v>0</v>
      </c>
      <c r="E82" s="8"/>
      <c r="F82" s="10"/>
      <c r="G82" s="10"/>
      <c r="H82" s="10"/>
      <c r="I82" s="10"/>
      <c r="J82" s="8">
        <f t="shared" si="3"/>
        <v>0</v>
      </c>
      <c r="K82" s="25"/>
      <c r="L82" s="25"/>
      <c r="M82" s="25"/>
      <c r="N82" s="25"/>
      <c r="O82" s="25"/>
      <c r="P82" s="25">
        <f t="shared" si="4"/>
        <v>0</v>
      </c>
    </row>
    <row r="83" s="2" customFormat="1" ht="18" customHeight="1" spans="1:16">
      <c r="A83" s="9" t="s">
        <v>145</v>
      </c>
      <c r="B83" s="16" t="s">
        <v>157</v>
      </c>
      <c r="C83" s="8" t="s">
        <v>29</v>
      </c>
      <c r="D83" s="8">
        <v>0</v>
      </c>
      <c r="E83" s="8"/>
      <c r="F83" s="10"/>
      <c r="G83" s="10"/>
      <c r="H83" s="10"/>
      <c r="I83" s="10"/>
      <c r="J83" s="8">
        <f t="shared" si="3"/>
        <v>0</v>
      </c>
      <c r="K83" s="25"/>
      <c r="L83" s="25"/>
      <c r="M83" s="25"/>
      <c r="N83" s="25"/>
      <c r="O83" s="25"/>
      <c r="P83" s="25">
        <f t="shared" si="4"/>
        <v>0</v>
      </c>
    </row>
    <row r="84" s="2" customFormat="1" ht="18" customHeight="1" spans="1:16">
      <c r="A84" s="36" t="s">
        <v>158</v>
      </c>
      <c r="B84" s="16" t="s">
        <v>157</v>
      </c>
      <c r="C84" s="8" t="s">
        <v>32</v>
      </c>
      <c r="D84" s="8">
        <v>173.0825</v>
      </c>
      <c r="E84" s="8">
        <f>18.03+22.0305+26.505+88.558+84.06+14.92+14.5105+8.9+15.72</f>
        <v>293.234</v>
      </c>
      <c r="F84" s="8">
        <f>2.58+6.08+7.6+20.0325+9.43+2.56+5+26.1555+16.16+15.01+14.225+9.61+26.95+23.925+4.2255</f>
        <v>189.5435</v>
      </c>
      <c r="G84" s="8"/>
      <c r="H84" s="8"/>
      <c r="I84" s="8"/>
      <c r="J84" s="8">
        <f t="shared" si="3"/>
        <v>276.773</v>
      </c>
      <c r="K84" s="25">
        <f>276.773-180</f>
        <v>96.773</v>
      </c>
      <c r="L84" s="25"/>
      <c r="M84" s="25"/>
      <c r="N84" s="25"/>
      <c r="O84" s="25">
        <v>180</v>
      </c>
      <c r="P84" s="25">
        <f t="shared" si="4"/>
        <v>276.773</v>
      </c>
    </row>
    <row r="85" s="2" customFormat="1" ht="18" customHeight="1" spans="1:16">
      <c r="A85" s="36" t="s">
        <v>57</v>
      </c>
      <c r="B85" s="16" t="s">
        <v>157</v>
      </c>
      <c r="C85" s="8" t="s">
        <v>35</v>
      </c>
      <c r="D85" s="8">
        <v>0</v>
      </c>
      <c r="E85" s="8"/>
      <c r="F85" s="8"/>
      <c r="G85" s="8"/>
      <c r="H85" s="8"/>
      <c r="I85" s="8"/>
      <c r="J85" s="8">
        <f t="shared" si="3"/>
        <v>0</v>
      </c>
      <c r="K85" s="25"/>
      <c r="L85" s="25"/>
      <c r="M85" s="25"/>
      <c r="N85" s="25"/>
      <c r="O85" s="25"/>
      <c r="P85" s="25">
        <f t="shared" si="4"/>
        <v>0</v>
      </c>
    </row>
    <row r="86" s="2" customFormat="1" ht="18" customHeight="1" spans="1:16">
      <c r="A86" s="36" t="s">
        <v>159</v>
      </c>
      <c r="B86" s="16" t="s">
        <v>160</v>
      </c>
      <c r="C86" s="8" t="s">
        <v>29</v>
      </c>
      <c r="D86" s="8">
        <v>3</v>
      </c>
      <c r="E86" s="8"/>
      <c r="F86" s="8">
        <f>3</f>
        <v>3</v>
      </c>
      <c r="G86" s="8"/>
      <c r="H86" s="8"/>
      <c r="I86" s="8"/>
      <c r="J86" s="8">
        <f t="shared" si="3"/>
        <v>0</v>
      </c>
      <c r="K86" s="25"/>
      <c r="L86" s="25"/>
      <c r="M86" s="25"/>
      <c r="N86" s="25"/>
      <c r="O86" s="25"/>
      <c r="P86" s="25">
        <f t="shared" si="4"/>
        <v>0</v>
      </c>
    </row>
    <row r="87" s="2" customFormat="1" ht="18" customHeight="1" spans="1:16">
      <c r="A87" s="9" t="s">
        <v>161</v>
      </c>
      <c r="B87" s="16" t="s">
        <v>160</v>
      </c>
      <c r="C87" s="8" t="s">
        <v>32</v>
      </c>
      <c r="D87" s="8">
        <v>0</v>
      </c>
      <c r="E87" s="8"/>
      <c r="F87" s="8"/>
      <c r="G87" s="8"/>
      <c r="H87" s="8"/>
      <c r="I87" s="8"/>
      <c r="J87" s="8">
        <f t="shared" si="3"/>
        <v>0</v>
      </c>
      <c r="K87" s="25"/>
      <c r="L87" s="25"/>
      <c r="M87" s="25"/>
      <c r="N87" s="25"/>
      <c r="O87" s="25"/>
      <c r="P87" s="25">
        <f t="shared" si="4"/>
        <v>0</v>
      </c>
    </row>
    <row r="88" s="2" customFormat="1" ht="18" customHeight="1" spans="1:16">
      <c r="A88" s="9" t="s">
        <v>162</v>
      </c>
      <c r="B88" s="16" t="s">
        <v>163</v>
      </c>
      <c r="C88" s="8" t="s">
        <v>32</v>
      </c>
      <c r="D88" s="8">
        <v>0</v>
      </c>
      <c r="E88" s="8"/>
      <c r="F88" s="8"/>
      <c r="G88" s="8"/>
      <c r="H88" s="8"/>
      <c r="I88" s="8"/>
      <c r="J88" s="8">
        <f t="shared" si="3"/>
        <v>0</v>
      </c>
      <c r="K88" s="25"/>
      <c r="L88" s="25"/>
      <c r="M88" s="25"/>
      <c r="N88" s="25"/>
      <c r="O88" s="25"/>
      <c r="P88" s="25">
        <f t="shared" si="4"/>
        <v>0</v>
      </c>
    </row>
    <row r="89" s="2" customFormat="1" ht="18" customHeight="1" spans="1:16">
      <c r="A89" s="36" t="s">
        <v>164</v>
      </c>
      <c r="B89" s="16" t="s">
        <v>165</v>
      </c>
      <c r="C89" s="8" t="s">
        <v>29</v>
      </c>
      <c r="D89" s="8">
        <v>0</v>
      </c>
      <c r="E89" s="8"/>
      <c r="F89" s="8"/>
      <c r="G89" s="8"/>
      <c r="H89" s="8"/>
      <c r="I89" s="8"/>
      <c r="J89" s="8">
        <f t="shared" si="3"/>
        <v>0</v>
      </c>
      <c r="K89" s="25"/>
      <c r="L89" s="25"/>
      <c r="M89" s="25"/>
      <c r="N89" s="25"/>
      <c r="O89" s="25"/>
      <c r="P89" s="25">
        <f t="shared" si="4"/>
        <v>0</v>
      </c>
    </row>
    <row r="90" s="2" customFormat="1" ht="18" customHeight="1" spans="1:16">
      <c r="A90" s="36" t="s">
        <v>164</v>
      </c>
      <c r="B90" s="16" t="s">
        <v>165</v>
      </c>
      <c r="C90" s="8" t="s">
        <v>35</v>
      </c>
      <c r="D90" s="7">
        <v>0</v>
      </c>
      <c r="E90" s="8"/>
      <c r="F90" s="8"/>
      <c r="G90" s="8"/>
      <c r="H90" s="8"/>
      <c r="I90" s="8"/>
      <c r="J90" s="8">
        <f t="shared" si="3"/>
        <v>0</v>
      </c>
      <c r="K90" s="25"/>
      <c r="L90" s="25"/>
      <c r="M90" s="25"/>
      <c r="N90" s="25"/>
      <c r="O90" s="25"/>
      <c r="P90" s="25">
        <f t="shared" si="4"/>
        <v>0</v>
      </c>
    </row>
    <row r="91" s="2" customFormat="1" ht="18" customHeight="1" spans="1:16">
      <c r="A91" s="12" t="s">
        <v>166</v>
      </c>
      <c r="B91" s="8" t="s">
        <v>167</v>
      </c>
      <c r="C91" s="8" t="s">
        <v>35</v>
      </c>
      <c r="D91" s="37">
        <v>0</v>
      </c>
      <c r="E91" s="8">
        <f>1.674</f>
        <v>1.674</v>
      </c>
      <c r="F91" s="10"/>
      <c r="G91" s="10"/>
      <c r="H91" s="10"/>
      <c r="I91" s="10"/>
      <c r="J91" s="8">
        <f t="shared" si="3"/>
        <v>1.674</v>
      </c>
      <c r="K91" s="25">
        <v>1.674</v>
      </c>
      <c r="L91" s="25"/>
      <c r="M91" s="25"/>
      <c r="N91" s="25"/>
      <c r="O91" s="25"/>
      <c r="P91" s="25">
        <f t="shared" si="4"/>
        <v>1.674</v>
      </c>
    </row>
    <row r="92" s="2" customFormat="1" ht="18" customHeight="1" spans="1:16">
      <c r="A92" s="18" t="s">
        <v>168</v>
      </c>
      <c r="B92" s="8" t="s">
        <v>167</v>
      </c>
      <c r="C92" s="8" t="s">
        <v>32</v>
      </c>
      <c r="D92" s="16">
        <v>0.05</v>
      </c>
      <c r="E92" s="13">
        <f>0.002+0.004+0.04</f>
        <v>0.046</v>
      </c>
      <c r="F92" s="10">
        <f>0.05+0.006+0.04</f>
        <v>0.096</v>
      </c>
      <c r="G92" s="10"/>
      <c r="H92" s="10"/>
      <c r="I92" s="10"/>
      <c r="J92" s="8">
        <f t="shared" si="3"/>
        <v>0</v>
      </c>
      <c r="K92" s="25"/>
      <c r="L92" s="25"/>
      <c r="M92" s="25"/>
      <c r="N92" s="25"/>
      <c r="O92" s="25"/>
      <c r="P92" s="25">
        <f t="shared" si="4"/>
        <v>0</v>
      </c>
    </row>
    <row r="93" s="2" customFormat="1" ht="18" customHeight="1" spans="1:16">
      <c r="A93" s="12" t="s">
        <v>155</v>
      </c>
      <c r="B93" s="8" t="s">
        <v>167</v>
      </c>
      <c r="C93" s="8" t="s">
        <v>29</v>
      </c>
      <c r="D93" s="8">
        <v>0</v>
      </c>
      <c r="E93" s="8">
        <f>0.32</f>
        <v>0.32</v>
      </c>
      <c r="F93" s="8">
        <f>0.32</f>
        <v>0.32</v>
      </c>
      <c r="G93" s="10"/>
      <c r="H93" s="10"/>
      <c r="I93" s="10"/>
      <c r="J93" s="8">
        <f t="shared" si="3"/>
        <v>0</v>
      </c>
      <c r="K93" s="25"/>
      <c r="L93" s="25"/>
      <c r="M93" s="25"/>
      <c r="N93" s="25"/>
      <c r="O93" s="25"/>
      <c r="P93" s="25">
        <f t="shared" si="4"/>
        <v>0</v>
      </c>
    </row>
    <row r="94" s="2" customFormat="1" ht="18" customHeight="1" spans="1:16">
      <c r="A94" s="11" t="s">
        <v>159</v>
      </c>
      <c r="B94" s="8" t="s">
        <v>169</v>
      </c>
      <c r="C94" s="8" t="s">
        <v>29</v>
      </c>
      <c r="D94" s="8">
        <v>0</v>
      </c>
      <c r="E94" s="8"/>
      <c r="F94" s="8"/>
      <c r="G94" s="10"/>
      <c r="H94" s="10"/>
      <c r="I94" s="10"/>
      <c r="J94" s="8">
        <f t="shared" si="3"/>
        <v>0</v>
      </c>
      <c r="K94" s="25"/>
      <c r="L94" s="25"/>
      <c r="M94" s="25"/>
      <c r="N94" s="25"/>
      <c r="O94" s="25"/>
      <c r="P94" s="25">
        <f t="shared" si="4"/>
        <v>0</v>
      </c>
    </row>
    <row r="95" s="2" customFormat="1" ht="18" customHeight="1" spans="1:16">
      <c r="A95" s="11" t="s">
        <v>170</v>
      </c>
      <c r="B95" s="8" t="s">
        <v>169</v>
      </c>
      <c r="C95" s="8" t="s">
        <v>32</v>
      </c>
      <c r="D95" s="8">
        <v>0</v>
      </c>
      <c r="E95" s="8">
        <f>0.2</f>
        <v>0.2</v>
      </c>
      <c r="F95" s="8">
        <f>0.2</f>
        <v>0.2</v>
      </c>
      <c r="G95" s="10"/>
      <c r="H95" s="10"/>
      <c r="I95" s="10"/>
      <c r="J95" s="8">
        <f t="shared" si="3"/>
        <v>0</v>
      </c>
      <c r="K95" s="25"/>
      <c r="L95" s="25"/>
      <c r="M95" s="25"/>
      <c r="N95" s="25"/>
      <c r="O95" s="25"/>
      <c r="P95" s="25">
        <f t="shared" si="4"/>
        <v>0</v>
      </c>
    </row>
    <row r="96" s="2" customFormat="1" ht="18" customHeight="1" spans="1:16">
      <c r="A96" s="11" t="s">
        <v>67</v>
      </c>
      <c r="B96" s="8" t="s">
        <v>171</v>
      </c>
      <c r="C96" s="8" t="s">
        <v>32</v>
      </c>
      <c r="D96" s="8">
        <v>0</v>
      </c>
      <c r="E96" s="8"/>
      <c r="F96" s="8"/>
      <c r="G96" s="10"/>
      <c r="H96" s="10"/>
      <c r="I96" s="10"/>
      <c r="J96" s="8">
        <f t="shared" si="3"/>
        <v>0</v>
      </c>
      <c r="K96" s="25"/>
      <c r="L96" s="25"/>
      <c r="M96" s="25"/>
      <c r="N96" s="25"/>
      <c r="O96" s="25"/>
      <c r="P96" s="25">
        <f t="shared" si="4"/>
        <v>0</v>
      </c>
    </row>
    <row r="97" s="2" customFormat="1" ht="18" customHeight="1" spans="1:16">
      <c r="A97" s="9" t="s">
        <v>172</v>
      </c>
      <c r="B97" s="8" t="s">
        <v>171</v>
      </c>
      <c r="C97" s="8" t="s">
        <v>35</v>
      </c>
      <c r="D97" s="8">
        <v>0.2</v>
      </c>
      <c r="E97" s="8"/>
      <c r="F97" s="8">
        <f>0.2</f>
        <v>0.2</v>
      </c>
      <c r="G97" s="10"/>
      <c r="H97" s="10"/>
      <c r="I97" s="10"/>
      <c r="J97" s="8">
        <f t="shared" si="3"/>
        <v>0</v>
      </c>
      <c r="K97" s="25"/>
      <c r="L97" s="25"/>
      <c r="M97" s="25"/>
      <c r="N97" s="25"/>
      <c r="O97" s="25"/>
      <c r="P97" s="25">
        <f t="shared" si="4"/>
        <v>0</v>
      </c>
    </row>
    <row r="98" s="2" customFormat="1" ht="18" customHeight="1" spans="1:16">
      <c r="A98" s="9" t="s">
        <v>173</v>
      </c>
      <c r="B98" s="8" t="s">
        <v>174</v>
      </c>
      <c r="C98" s="8" t="s">
        <v>29</v>
      </c>
      <c r="D98" s="8">
        <v>0</v>
      </c>
      <c r="E98" s="8"/>
      <c r="F98" s="13"/>
      <c r="G98" s="10"/>
      <c r="H98" s="10"/>
      <c r="I98" s="10"/>
      <c r="J98" s="8">
        <f t="shared" si="3"/>
        <v>0</v>
      </c>
      <c r="K98" s="25"/>
      <c r="L98" s="25"/>
      <c r="M98" s="25"/>
      <c r="N98" s="25"/>
      <c r="O98" s="25"/>
      <c r="P98" s="25">
        <f t="shared" si="4"/>
        <v>0</v>
      </c>
    </row>
    <row r="99" s="2" customFormat="1" ht="18" customHeight="1" spans="1:16">
      <c r="A99" s="19" t="s">
        <v>175</v>
      </c>
      <c r="B99" s="8" t="s">
        <v>176</v>
      </c>
      <c r="C99" s="8" t="s">
        <v>35</v>
      </c>
      <c r="D99" s="8">
        <v>0.183999999999999</v>
      </c>
      <c r="E99" s="8">
        <f>0.5</f>
        <v>0.5</v>
      </c>
      <c r="F99" s="10">
        <f>0.184</f>
        <v>0.184</v>
      </c>
      <c r="G99" s="38"/>
      <c r="H99" s="38"/>
      <c r="I99" s="38"/>
      <c r="J99" s="8">
        <f t="shared" si="3"/>
        <v>0.499999999999999</v>
      </c>
      <c r="K99" s="25">
        <v>0.5</v>
      </c>
      <c r="L99" s="25"/>
      <c r="M99" s="25"/>
      <c r="N99" s="25"/>
      <c r="O99" s="25"/>
      <c r="P99" s="25">
        <f t="shared" si="4"/>
        <v>0.5</v>
      </c>
    </row>
    <row r="100" s="2" customFormat="1" ht="18" customHeight="1" spans="1:16">
      <c r="A100" s="19" t="s">
        <v>177</v>
      </c>
      <c r="B100" s="8" t="s">
        <v>176</v>
      </c>
      <c r="C100" s="8" t="s">
        <v>29</v>
      </c>
      <c r="D100" s="8">
        <v>0</v>
      </c>
      <c r="E100" s="8"/>
      <c r="F100" s="10"/>
      <c r="G100" s="38"/>
      <c r="H100" s="38"/>
      <c r="I100" s="38"/>
      <c r="J100" s="8">
        <f t="shared" si="3"/>
        <v>0</v>
      </c>
      <c r="K100" s="25"/>
      <c r="L100" s="25"/>
      <c r="M100" s="25"/>
      <c r="N100" s="25"/>
      <c r="O100" s="25"/>
      <c r="P100" s="25">
        <f t="shared" si="4"/>
        <v>0</v>
      </c>
    </row>
    <row r="101" s="2" customFormat="1" ht="18" customHeight="1" spans="1:16">
      <c r="A101" s="19" t="s">
        <v>175</v>
      </c>
      <c r="B101" s="8" t="s">
        <v>176</v>
      </c>
      <c r="C101" s="8" t="s">
        <v>32</v>
      </c>
      <c r="D101" s="8">
        <v>28.51</v>
      </c>
      <c r="E101" s="8">
        <f>0.56+6.93+20.18+1.54</f>
        <v>29.21</v>
      </c>
      <c r="F101" s="10">
        <f>9.96+8.85+0.56</f>
        <v>19.37</v>
      </c>
      <c r="G101" s="10"/>
      <c r="H101" s="10"/>
      <c r="I101" s="10"/>
      <c r="J101" s="8">
        <f t="shared" si="3"/>
        <v>38.35</v>
      </c>
      <c r="K101" s="25">
        <f>38.35-15</f>
        <v>23.35</v>
      </c>
      <c r="L101" s="25"/>
      <c r="M101" s="25"/>
      <c r="N101" s="25"/>
      <c r="O101" s="25">
        <v>15</v>
      </c>
      <c r="P101" s="25">
        <f t="shared" si="4"/>
        <v>38.35</v>
      </c>
    </row>
    <row r="102" s="2" customFormat="1" ht="18" customHeight="1" spans="1:16">
      <c r="A102" s="11" t="s">
        <v>178</v>
      </c>
      <c r="B102" s="4" t="s">
        <v>179</v>
      </c>
      <c r="C102" s="8" t="s">
        <v>32</v>
      </c>
      <c r="D102" s="8">
        <v>4.53</v>
      </c>
      <c r="E102" s="8">
        <f>0.04</f>
        <v>0.04</v>
      </c>
      <c r="F102" s="10">
        <f>0.1+4.43+0.04</f>
        <v>4.57</v>
      </c>
      <c r="G102" s="10"/>
      <c r="H102" s="10"/>
      <c r="I102" s="10"/>
      <c r="J102" s="8">
        <f t="shared" si="3"/>
        <v>0</v>
      </c>
      <c r="K102" s="25"/>
      <c r="L102" s="25"/>
      <c r="M102" s="25"/>
      <c r="N102" s="25"/>
      <c r="O102" s="25"/>
      <c r="P102" s="25">
        <f t="shared" si="4"/>
        <v>0</v>
      </c>
    </row>
    <row r="103" s="2" customFormat="1" ht="18" customHeight="1" spans="1:16">
      <c r="A103" s="11" t="s">
        <v>178</v>
      </c>
      <c r="B103" s="4" t="s">
        <v>179</v>
      </c>
      <c r="C103" s="8" t="s">
        <v>35</v>
      </c>
      <c r="D103" s="8">
        <v>0</v>
      </c>
      <c r="E103" s="8"/>
      <c r="F103" s="10"/>
      <c r="G103" s="10"/>
      <c r="H103" s="10"/>
      <c r="I103" s="10"/>
      <c r="J103" s="8">
        <f t="shared" si="3"/>
        <v>0</v>
      </c>
      <c r="K103" s="25"/>
      <c r="L103" s="25"/>
      <c r="M103" s="25"/>
      <c r="N103" s="25"/>
      <c r="O103" s="25"/>
      <c r="P103" s="25">
        <f t="shared" si="4"/>
        <v>0</v>
      </c>
    </row>
    <row r="104" s="2" customFormat="1" ht="18" customHeight="1" spans="1:16">
      <c r="A104" s="11" t="s">
        <v>180</v>
      </c>
      <c r="B104" s="4" t="s">
        <v>181</v>
      </c>
      <c r="C104" s="8" t="s">
        <v>29</v>
      </c>
      <c r="D104" s="8">
        <v>0</v>
      </c>
      <c r="E104" s="8"/>
      <c r="F104" s="10"/>
      <c r="G104" s="10"/>
      <c r="H104" s="10"/>
      <c r="I104" s="10"/>
      <c r="J104" s="8">
        <f t="shared" si="3"/>
        <v>0</v>
      </c>
      <c r="K104" s="25"/>
      <c r="L104" s="25"/>
      <c r="M104" s="25"/>
      <c r="N104" s="25"/>
      <c r="O104" s="25"/>
      <c r="P104" s="25">
        <f t="shared" si="4"/>
        <v>0</v>
      </c>
    </row>
    <row r="105" s="2" customFormat="1" ht="18" customHeight="1" spans="1:16">
      <c r="A105" s="11" t="s">
        <v>182</v>
      </c>
      <c r="B105" s="4" t="s">
        <v>181</v>
      </c>
      <c r="C105" s="8" t="s">
        <v>35</v>
      </c>
      <c r="D105" s="8">
        <v>4.296</v>
      </c>
      <c r="E105" s="8"/>
      <c r="F105" s="10"/>
      <c r="G105" s="10"/>
      <c r="H105" s="10"/>
      <c r="I105" s="10"/>
      <c r="J105" s="8">
        <f t="shared" si="3"/>
        <v>4.296</v>
      </c>
      <c r="K105" s="25">
        <v>4.296</v>
      </c>
      <c r="L105" s="25"/>
      <c r="M105" s="25"/>
      <c r="N105" s="25"/>
      <c r="O105" s="25"/>
      <c r="P105" s="25">
        <f t="shared" si="4"/>
        <v>4.296</v>
      </c>
    </row>
    <row r="106" s="2" customFormat="1" ht="18" customHeight="1" spans="1:16">
      <c r="A106" s="9" t="s">
        <v>183</v>
      </c>
      <c r="B106" s="4" t="s">
        <v>184</v>
      </c>
      <c r="C106" s="8" t="s">
        <v>29</v>
      </c>
      <c r="D106" s="8">
        <v>17.52</v>
      </c>
      <c r="E106" s="8"/>
      <c r="F106" s="10"/>
      <c r="G106" s="10"/>
      <c r="H106" s="10"/>
      <c r="I106" s="10"/>
      <c r="J106" s="8">
        <f t="shared" si="3"/>
        <v>17.52</v>
      </c>
      <c r="K106" s="25">
        <v>17.52</v>
      </c>
      <c r="L106" s="25"/>
      <c r="M106" s="25"/>
      <c r="N106" s="25"/>
      <c r="O106" s="25"/>
      <c r="P106" s="25">
        <f t="shared" si="4"/>
        <v>17.52</v>
      </c>
    </row>
    <row r="107" s="2" customFormat="1" ht="18" customHeight="1" spans="1:16">
      <c r="A107" s="11" t="s">
        <v>185</v>
      </c>
      <c r="B107" s="4" t="s">
        <v>184</v>
      </c>
      <c r="C107" s="8" t="s">
        <v>35</v>
      </c>
      <c r="D107" s="8">
        <v>0</v>
      </c>
      <c r="E107" s="8"/>
      <c r="F107" s="10"/>
      <c r="G107" s="10"/>
      <c r="H107" s="10"/>
      <c r="I107" s="10"/>
      <c r="J107" s="8">
        <f t="shared" si="3"/>
        <v>0</v>
      </c>
      <c r="K107" s="25"/>
      <c r="L107" s="25"/>
      <c r="M107" s="25"/>
      <c r="N107" s="25"/>
      <c r="O107" s="25"/>
      <c r="P107" s="25">
        <f t="shared" si="4"/>
        <v>0</v>
      </c>
    </row>
    <row r="108" s="2" customFormat="1" ht="18" customHeight="1" spans="1:16">
      <c r="A108" s="9" t="s">
        <v>183</v>
      </c>
      <c r="B108" s="4" t="s">
        <v>184</v>
      </c>
      <c r="C108" s="8" t="s">
        <v>32</v>
      </c>
      <c r="D108" s="8">
        <v>0</v>
      </c>
      <c r="E108" s="8"/>
      <c r="F108" s="10"/>
      <c r="G108" s="10"/>
      <c r="H108" s="10"/>
      <c r="I108" s="10"/>
      <c r="J108" s="8">
        <f t="shared" si="3"/>
        <v>0</v>
      </c>
      <c r="K108" s="25"/>
      <c r="L108" s="25"/>
      <c r="M108" s="25"/>
      <c r="N108" s="25"/>
      <c r="O108" s="25"/>
      <c r="P108" s="25">
        <f t="shared" si="4"/>
        <v>0</v>
      </c>
    </row>
    <row r="109" s="2" customFormat="1" ht="18" customHeight="1" spans="1:16">
      <c r="A109" s="30" t="s">
        <v>186</v>
      </c>
      <c r="B109" s="4" t="s">
        <v>187</v>
      </c>
      <c r="C109" s="8" t="s">
        <v>29</v>
      </c>
      <c r="D109" s="8">
        <v>0</v>
      </c>
      <c r="E109" s="8"/>
      <c r="F109" s="10"/>
      <c r="G109" s="10"/>
      <c r="H109" s="10"/>
      <c r="I109" s="10"/>
      <c r="J109" s="8">
        <f t="shared" si="3"/>
        <v>0</v>
      </c>
      <c r="K109" s="25"/>
      <c r="L109" s="25"/>
      <c r="M109" s="25"/>
      <c r="N109" s="25"/>
      <c r="O109" s="25"/>
      <c r="P109" s="25">
        <f t="shared" si="4"/>
        <v>0</v>
      </c>
    </row>
    <row r="110" s="2" customFormat="1" ht="18" customHeight="1" spans="1:16">
      <c r="A110" s="11" t="s">
        <v>188</v>
      </c>
      <c r="B110" s="4" t="s">
        <v>187</v>
      </c>
      <c r="C110" s="8" t="s">
        <v>35</v>
      </c>
      <c r="D110" s="8">
        <v>0</v>
      </c>
      <c r="E110" s="8"/>
      <c r="F110" s="10"/>
      <c r="G110" s="10"/>
      <c r="H110" s="10"/>
      <c r="I110" s="10"/>
      <c r="J110" s="8">
        <f t="shared" si="3"/>
        <v>0</v>
      </c>
      <c r="K110" s="25"/>
      <c r="L110" s="25"/>
      <c r="M110" s="25"/>
      <c r="N110" s="25"/>
      <c r="O110" s="25"/>
      <c r="P110" s="25">
        <f t="shared" si="4"/>
        <v>0</v>
      </c>
    </row>
    <row r="111" s="2" customFormat="1" ht="18" customHeight="1" spans="1:16">
      <c r="A111" s="9" t="s">
        <v>178</v>
      </c>
      <c r="B111" s="4" t="s">
        <v>187</v>
      </c>
      <c r="C111" s="8" t="s">
        <v>32</v>
      </c>
      <c r="D111" s="8">
        <v>0</v>
      </c>
      <c r="E111" s="8">
        <f>2.74</f>
        <v>2.74</v>
      </c>
      <c r="F111" s="8"/>
      <c r="G111" s="8"/>
      <c r="H111" s="8"/>
      <c r="I111" s="8"/>
      <c r="J111" s="8">
        <f t="shared" si="3"/>
        <v>2.74</v>
      </c>
      <c r="K111" s="25">
        <v>2.74</v>
      </c>
      <c r="L111" s="25"/>
      <c r="M111" s="25"/>
      <c r="N111" s="25"/>
      <c r="O111" s="25"/>
      <c r="P111" s="25">
        <f t="shared" si="4"/>
        <v>2.74</v>
      </c>
    </row>
    <row r="112" s="2" customFormat="1" ht="18" customHeight="1" spans="1:16">
      <c r="A112" s="9" t="s">
        <v>67</v>
      </c>
      <c r="B112" s="4" t="s">
        <v>189</v>
      </c>
      <c r="C112" s="8" t="s">
        <v>35</v>
      </c>
      <c r="D112" s="8">
        <v>0</v>
      </c>
      <c r="E112" s="8"/>
      <c r="F112" s="8"/>
      <c r="G112" s="8"/>
      <c r="H112" s="8"/>
      <c r="I112" s="8"/>
      <c r="J112" s="8">
        <f t="shared" si="3"/>
        <v>0</v>
      </c>
      <c r="K112" s="25"/>
      <c r="L112" s="25"/>
      <c r="M112" s="25"/>
      <c r="N112" s="25"/>
      <c r="O112" s="25"/>
      <c r="P112" s="25">
        <f t="shared" si="4"/>
        <v>0</v>
      </c>
    </row>
    <row r="113" s="2" customFormat="1" ht="18" customHeight="1" spans="1:16">
      <c r="A113" s="9" t="s">
        <v>190</v>
      </c>
      <c r="B113" s="4" t="s">
        <v>189</v>
      </c>
      <c r="C113" s="8" t="s">
        <v>32</v>
      </c>
      <c r="D113" s="8">
        <v>0</v>
      </c>
      <c r="E113" s="8">
        <f>2.444</f>
        <v>2.444</v>
      </c>
      <c r="F113" s="8">
        <f>2.444</f>
        <v>2.444</v>
      </c>
      <c r="G113" s="8"/>
      <c r="H113" s="8"/>
      <c r="I113" s="8"/>
      <c r="J113" s="8">
        <f t="shared" si="3"/>
        <v>0</v>
      </c>
      <c r="K113" s="25"/>
      <c r="L113" s="25"/>
      <c r="M113" s="25"/>
      <c r="N113" s="25"/>
      <c r="O113" s="25"/>
      <c r="P113" s="25">
        <f t="shared" si="4"/>
        <v>0</v>
      </c>
    </row>
    <row r="114" s="2" customFormat="1" ht="18" customHeight="1" spans="1:16">
      <c r="A114" s="9" t="s">
        <v>191</v>
      </c>
      <c r="B114" s="4" t="s">
        <v>192</v>
      </c>
      <c r="C114" s="8" t="s">
        <v>29</v>
      </c>
      <c r="D114" s="8">
        <v>0</v>
      </c>
      <c r="E114" s="8">
        <f>0.6</f>
        <v>0.6</v>
      </c>
      <c r="F114" s="8"/>
      <c r="G114" s="8"/>
      <c r="H114" s="8"/>
      <c r="I114" s="8"/>
      <c r="J114" s="8">
        <f t="shared" si="3"/>
        <v>0.6</v>
      </c>
      <c r="K114" s="25">
        <v>0.6</v>
      </c>
      <c r="L114" s="25"/>
      <c r="M114" s="25"/>
      <c r="N114" s="25"/>
      <c r="O114" s="25"/>
      <c r="P114" s="25">
        <f t="shared" si="4"/>
        <v>0.6</v>
      </c>
    </row>
    <row r="115" s="2" customFormat="1" ht="18" customHeight="1" spans="1:16">
      <c r="A115" s="11" t="s">
        <v>193</v>
      </c>
      <c r="B115" s="4" t="s">
        <v>194</v>
      </c>
      <c r="C115" s="8" t="s">
        <v>29</v>
      </c>
      <c r="D115" s="8">
        <v>0</v>
      </c>
      <c r="E115" s="8"/>
      <c r="F115" s="8"/>
      <c r="G115" s="8"/>
      <c r="H115" s="8"/>
      <c r="I115" s="8"/>
      <c r="J115" s="8">
        <f t="shared" si="3"/>
        <v>0</v>
      </c>
      <c r="K115" s="25"/>
      <c r="L115" s="25"/>
      <c r="M115" s="25"/>
      <c r="N115" s="25"/>
      <c r="O115" s="25"/>
      <c r="P115" s="25">
        <f t="shared" si="4"/>
        <v>0</v>
      </c>
    </row>
    <row r="116" s="2" customFormat="1" ht="18" customHeight="1" spans="1:16">
      <c r="A116" s="11" t="s">
        <v>195</v>
      </c>
      <c r="B116" s="4" t="s">
        <v>194</v>
      </c>
      <c r="C116" s="8" t="s">
        <v>32</v>
      </c>
      <c r="D116" s="8">
        <v>0</v>
      </c>
      <c r="E116" s="8"/>
      <c r="F116" s="8"/>
      <c r="G116" s="8"/>
      <c r="H116" s="8"/>
      <c r="I116" s="8"/>
      <c r="J116" s="8">
        <f t="shared" si="3"/>
        <v>0</v>
      </c>
      <c r="K116" s="25"/>
      <c r="L116" s="25"/>
      <c r="M116" s="25"/>
      <c r="N116" s="25"/>
      <c r="O116" s="25"/>
      <c r="P116" s="25">
        <f t="shared" si="4"/>
        <v>0</v>
      </c>
    </row>
    <row r="117" s="2" customFormat="1" ht="18" customHeight="1" spans="1:16">
      <c r="A117" s="11" t="s">
        <v>196</v>
      </c>
      <c r="B117" s="4" t="s">
        <v>197</v>
      </c>
      <c r="C117" s="8" t="s">
        <v>29</v>
      </c>
      <c r="D117" s="8">
        <v>0</v>
      </c>
      <c r="E117" s="8">
        <f>1.2</f>
        <v>1.2</v>
      </c>
      <c r="F117" s="8"/>
      <c r="G117" s="8"/>
      <c r="H117" s="8"/>
      <c r="I117" s="8"/>
      <c r="J117" s="8">
        <f t="shared" si="3"/>
        <v>1.2</v>
      </c>
      <c r="K117" s="25">
        <v>1.2</v>
      </c>
      <c r="L117" s="25"/>
      <c r="M117" s="25"/>
      <c r="N117" s="25"/>
      <c r="O117" s="25"/>
      <c r="P117" s="25">
        <f t="shared" si="4"/>
        <v>1.2</v>
      </c>
    </row>
    <row r="118" s="2" customFormat="1" ht="18" customHeight="1" spans="1:16">
      <c r="A118" s="11" t="s">
        <v>196</v>
      </c>
      <c r="B118" s="4" t="s">
        <v>198</v>
      </c>
      <c r="C118" s="8" t="s">
        <v>29</v>
      </c>
      <c r="D118" s="8">
        <v>0</v>
      </c>
      <c r="E118" s="8"/>
      <c r="F118" s="10"/>
      <c r="G118" s="10"/>
      <c r="H118" s="10"/>
      <c r="I118" s="10"/>
      <c r="J118" s="8">
        <f t="shared" si="3"/>
        <v>0</v>
      </c>
      <c r="K118" s="25"/>
      <c r="L118" s="25"/>
      <c r="M118" s="25"/>
      <c r="N118" s="25"/>
      <c r="O118" s="25"/>
      <c r="P118" s="25">
        <f t="shared" si="4"/>
        <v>0</v>
      </c>
    </row>
    <row r="119" s="2" customFormat="1" ht="18" customHeight="1" spans="1:16">
      <c r="A119" s="9" t="s">
        <v>199</v>
      </c>
      <c r="B119" s="4" t="s">
        <v>200</v>
      </c>
      <c r="C119" s="8" t="s">
        <v>32</v>
      </c>
      <c r="D119" s="8">
        <v>0</v>
      </c>
      <c r="E119" s="8"/>
      <c r="F119" s="10"/>
      <c r="G119" s="10"/>
      <c r="H119" s="10"/>
      <c r="I119" s="10"/>
      <c r="J119" s="8">
        <f t="shared" si="3"/>
        <v>0</v>
      </c>
      <c r="K119" s="25"/>
      <c r="L119" s="25"/>
      <c r="M119" s="25"/>
      <c r="N119" s="25"/>
      <c r="O119" s="25"/>
      <c r="P119" s="25">
        <f t="shared" si="4"/>
        <v>0</v>
      </c>
    </row>
    <row r="120" s="2" customFormat="1" ht="18" customHeight="1" spans="1:16">
      <c r="A120" s="11" t="s">
        <v>201</v>
      </c>
      <c r="B120" s="4" t="s">
        <v>202</v>
      </c>
      <c r="C120" s="8" t="s">
        <v>32</v>
      </c>
      <c r="D120" s="8">
        <v>0</v>
      </c>
      <c r="E120" s="8">
        <f>0.25</f>
        <v>0.25</v>
      </c>
      <c r="F120" s="10"/>
      <c r="G120" s="10"/>
      <c r="H120" s="10"/>
      <c r="I120" s="10"/>
      <c r="J120" s="8">
        <f t="shared" si="3"/>
        <v>0.25</v>
      </c>
      <c r="K120" s="25"/>
      <c r="L120" s="25">
        <v>0.25</v>
      </c>
      <c r="M120" s="25"/>
      <c r="N120" s="25"/>
      <c r="O120" s="25"/>
      <c r="P120" s="25">
        <f t="shared" si="4"/>
        <v>0.25</v>
      </c>
    </row>
    <row r="121" s="2" customFormat="1" ht="18" customHeight="1" spans="1:16">
      <c r="A121" s="11" t="s">
        <v>203</v>
      </c>
      <c r="B121" s="4" t="s">
        <v>204</v>
      </c>
      <c r="C121" s="8" t="s">
        <v>29</v>
      </c>
      <c r="D121" s="8">
        <v>0</v>
      </c>
      <c r="E121" s="8"/>
      <c r="F121" s="10"/>
      <c r="G121" s="10"/>
      <c r="H121" s="10"/>
      <c r="I121" s="10"/>
      <c r="J121" s="8">
        <f t="shared" si="3"/>
        <v>0</v>
      </c>
      <c r="K121" s="25"/>
      <c r="L121" s="25"/>
      <c r="M121" s="25"/>
      <c r="N121" s="25"/>
      <c r="O121" s="25"/>
      <c r="P121" s="25">
        <f t="shared" si="4"/>
        <v>0</v>
      </c>
    </row>
    <row r="122" s="2" customFormat="1" ht="18" customHeight="1" spans="1:16">
      <c r="A122" s="21" t="s">
        <v>205</v>
      </c>
      <c r="B122" s="4" t="s">
        <v>204</v>
      </c>
      <c r="C122" s="8" t="s">
        <v>32</v>
      </c>
      <c r="D122" s="8">
        <v>0</v>
      </c>
      <c r="E122" s="8">
        <f>8.32</f>
        <v>8.32</v>
      </c>
      <c r="F122" s="10"/>
      <c r="G122" s="10"/>
      <c r="H122" s="10"/>
      <c r="I122" s="10"/>
      <c r="J122" s="8">
        <f t="shared" si="3"/>
        <v>8.32</v>
      </c>
      <c r="K122" s="25"/>
      <c r="L122" s="25">
        <v>8.32</v>
      </c>
      <c r="M122" s="25"/>
      <c r="N122" s="25"/>
      <c r="O122" s="25"/>
      <c r="P122" s="25">
        <f t="shared" si="4"/>
        <v>8.32</v>
      </c>
    </row>
    <row r="123" s="2" customFormat="1" ht="18" customHeight="1" spans="1:16">
      <c r="A123" s="21" t="s">
        <v>206</v>
      </c>
      <c r="B123" s="4" t="s">
        <v>207</v>
      </c>
      <c r="C123" s="8" t="s">
        <v>32</v>
      </c>
      <c r="D123" s="8">
        <v>0</v>
      </c>
      <c r="E123" s="8">
        <f>28.48+29.46+0.1</f>
        <v>58.04</v>
      </c>
      <c r="F123" s="10">
        <f>15+13.48+20+9.46</f>
        <v>57.94</v>
      </c>
      <c r="G123" s="10"/>
      <c r="H123" s="10"/>
      <c r="I123" s="10"/>
      <c r="J123" s="8">
        <f t="shared" si="3"/>
        <v>0.0999999999999943</v>
      </c>
      <c r="K123" s="25"/>
      <c r="L123" s="25">
        <v>0.1</v>
      </c>
      <c r="M123" s="25"/>
      <c r="N123" s="25"/>
      <c r="O123" s="25"/>
      <c r="P123" s="25">
        <f t="shared" si="4"/>
        <v>0.1</v>
      </c>
    </row>
    <row r="124" s="2" customFormat="1" ht="18" customHeight="1" spans="1:16">
      <c r="A124" s="21" t="s">
        <v>67</v>
      </c>
      <c r="B124" s="4" t="s">
        <v>208</v>
      </c>
      <c r="C124" s="8" t="s">
        <v>32</v>
      </c>
      <c r="D124" s="8">
        <v>0</v>
      </c>
      <c r="E124" s="8"/>
      <c r="F124" s="10"/>
      <c r="G124" s="10"/>
      <c r="H124" s="10"/>
      <c r="I124" s="10"/>
      <c r="J124" s="8">
        <f t="shared" si="3"/>
        <v>0</v>
      </c>
      <c r="K124" s="25"/>
      <c r="L124" s="25"/>
      <c r="M124" s="25"/>
      <c r="N124" s="25"/>
      <c r="O124" s="25"/>
      <c r="P124" s="25">
        <f t="shared" si="4"/>
        <v>0</v>
      </c>
    </row>
    <row r="125" s="2" customFormat="1" ht="18" customHeight="1" spans="1:16">
      <c r="A125" s="9" t="s">
        <v>209</v>
      </c>
      <c r="B125" s="4" t="s">
        <v>210</v>
      </c>
      <c r="C125" s="8" t="s">
        <v>29</v>
      </c>
      <c r="D125" s="8">
        <v>0</v>
      </c>
      <c r="E125" s="8">
        <f>6.1932</f>
        <v>6.1932</v>
      </c>
      <c r="F125" s="10"/>
      <c r="G125" s="10"/>
      <c r="H125" s="10"/>
      <c r="I125" s="10"/>
      <c r="J125" s="8">
        <f t="shared" si="3"/>
        <v>6.1932</v>
      </c>
      <c r="K125" s="25"/>
      <c r="L125" s="25">
        <v>6.1932</v>
      </c>
      <c r="M125" s="25"/>
      <c r="N125" s="25"/>
      <c r="O125" s="25"/>
      <c r="P125" s="25">
        <f t="shared" si="4"/>
        <v>6.1932</v>
      </c>
    </row>
    <row r="126" s="2" customFormat="1" ht="18" customHeight="1" spans="1:16">
      <c r="A126" s="11" t="s">
        <v>211</v>
      </c>
      <c r="B126" s="4" t="s">
        <v>212</v>
      </c>
      <c r="C126" s="8" t="s">
        <v>29</v>
      </c>
      <c r="D126" s="8">
        <v>0</v>
      </c>
      <c r="E126" s="8"/>
      <c r="F126" s="10"/>
      <c r="G126" s="10"/>
      <c r="H126" s="10"/>
      <c r="I126" s="10"/>
      <c r="J126" s="8">
        <f t="shared" si="3"/>
        <v>0</v>
      </c>
      <c r="K126" s="25"/>
      <c r="L126" s="25"/>
      <c r="M126" s="25"/>
      <c r="N126" s="25"/>
      <c r="O126" s="25"/>
      <c r="P126" s="25">
        <f t="shared" si="4"/>
        <v>0</v>
      </c>
    </row>
    <row r="127" s="2" customFormat="1" ht="18" customHeight="1" spans="1:16">
      <c r="A127" s="11" t="s">
        <v>206</v>
      </c>
      <c r="B127" s="4" t="s">
        <v>212</v>
      </c>
      <c r="C127" s="8" t="s">
        <v>35</v>
      </c>
      <c r="D127" s="8">
        <v>0</v>
      </c>
      <c r="E127" s="8"/>
      <c r="F127" s="10"/>
      <c r="G127" s="10"/>
      <c r="H127" s="10"/>
      <c r="I127" s="10"/>
      <c r="J127" s="8">
        <f t="shared" si="3"/>
        <v>0</v>
      </c>
      <c r="K127" s="25"/>
      <c r="L127" s="25"/>
      <c r="M127" s="25"/>
      <c r="N127" s="25"/>
      <c r="O127" s="25"/>
      <c r="P127" s="25">
        <f t="shared" si="4"/>
        <v>0</v>
      </c>
    </row>
    <row r="128" s="2" customFormat="1" ht="18" customHeight="1" spans="1:16">
      <c r="A128" s="11" t="s">
        <v>206</v>
      </c>
      <c r="B128" s="4" t="s">
        <v>212</v>
      </c>
      <c r="C128" s="8" t="s">
        <v>32</v>
      </c>
      <c r="D128" s="8">
        <v>0</v>
      </c>
      <c r="E128" s="8"/>
      <c r="F128" s="10"/>
      <c r="G128" s="10"/>
      <c r="H128" s="10"/>
      <c r="I128" s="10"/>
      <c r="J128" s="8">
        <f t="shared" si="3"/>
        <v>0</v>
      </c>
      <c r="K128" s="25"/>
      <c r="L128" s="25"/>
      <c r="M128" s="25"/>
      <c r="N128" s="25"/>
      <c r="O128" s="25"/>
      <c r="P128" s="25">
        <f t="shared" si="4"/>
        <v>0</v>
      </c>
    </row>
    <row r="129" s="2" customFormat="1" ht="18" customHeight="1" spans="1:16">
      <c r="A129" s="11" t="s">
        <v>213</v>
      </c>
      <c r="B129" s="8" t="s">
        <v>214</v>
      </c>
      <c r="C129" s="8" t="s">
        <v>32</v>
      </c>
      <c r="D129" s="8">
        <v>26.259</v>
      </c>
      <c r="E129" s="8">
        <f>5.415+3.877+0.2</f>
        <v>9.492</v>
      </c>
      <c r="F129" s="10">
        <f>9.56+10.14+6.559</f>
        <v>26.259</v>
      </c>
      <c r="G129" s="10"/>
      <c r="H129" s="10"/>
      <c r="I129" s="10"/>
      <c r="J129" s="8">
        <f t="shared" si="3"/>
        <v>9.49199999999999</v>
      </c>
      <c r="K129" s="25"/>
      <c r="L129" s="25">
        <v>9.492</v>
      </c>
      <c r="M129" s="25"/>
      <c r="N129" s="25"/>
      <c r="O129" s="25"/>
      <c r="P129" s="25">
        <f t="shared" si="4"/>
        <v>9.492</v>
      </c>
    </row>
    <row r="130" s="2" customFormat="1" ht="18" customHeight="1" spans="1:16">
      <c r="A130" s="12" t="s">
        <v>215</v>
      </c>
      <c r="B130" s="8" t="s">
        <v>214</v>
      </c>
      <c r="C130" s="8" t="s">
        <v>35</v>
      </c>
      <c r="D130" s="8">
        <v>0</v>
      </c>
      <c r="E130" s="8"/>
      <c r="F130" s="10"/>
      <c r="G130" s="10"/>
      <c r="H130" s="10"/>
      <c r="I130" s="10"/>
      <c r="J130" s="8">
        <f t="shared" si="3"/>
        <v>0</v>
      </c>
      <c r="K130" s="25"/>
      <c r="L130" s="25"/>
      <c r="M130" s="25"/>
      <c r="N130" s="25"/>
      <c r="O130" s="25"/>
      <c r="P130" s="25">
        <f t="shared" si="4"/>
        <v>0</v>
      </c>
    </row>
    <row r="131" s="2" customFormat="1" ht="18" customHeight="1" spans="1:16">
      <c r="A131" s="12" t="s">
        <v>215</v>
      </c>
      <c r="B131" s="8" t="s">
        <v>214</v>
      </c>
      <c r="C131" s="8" t="s">
        <v>29</v>
      </c>
      <c r="D131" s="8">
        <v>22.08</v>
      </c>
      <c r="E131" s="8">
        <f>26.95+1.379+1</f>
        <v>29.329</v>
      </c>
      <c r="F131" s="8">
        <f>10+9.6</f>
        <v>19.6</v>
      </c>
      <c r="G131" s="8"/>
      <c r="H131" s="8"/>
      <c r="I131" s="8"/>
      <c r="J131" s="8">
        <f t="shared" si="3"/>
        <v>31.809</v>
      </c>
      <c r="K131" s="25"/>
      <c r="L131" s="25">
        <v>31.809</v>
      </c>
      <c r="M131" s="25"/>
      <c r="N131" s="25"/>
      <c r="O131" s="25"/>
      <c r="P131" s="25">
        <f t="shared" si="4"/>
        <v>31.809</v>
      </c>
    </row>
    <row r="132" s="2" customFormat="1" ht="18" customHeight="1" spans="1:16">
      <c r="A132" s="12" t="s">
        <v>216</v>
      </c>
      <c r="B132" s="8" t="s">
        <v>217</v>
      </c>
      <c r="C132" s="8" t="s">
        <v>32</v>
      </c>
      <c r="D132" s="8">
        <v>0</v>
      </c>
      <c r="E132" s="8"/>
      <c r="F132" s="8"/>
      <c r="G132" s="8"/>
      <c r="H132" s="8"/>
      <c r="I132" s="8"/>
      <c r="J132" s="8">
        <f t="shared" ref="J132:J165" si="5">D132+E132-F132-G132-H132-I132</f>
        <v>0</v>
      </c>
      <c r="K132" s="25"/>
      <c r="L132" s="25"/>
      <c r="M132" s="25"/>
      <c r="N132" s="25"/>
      <c r="O132" s="25"/>
      <c r="P132" s="25">
        <f t="shared" ref="P132:P164" si="6">K132+L132+M132+N132+O132</f>
        <v>0</v>
      </c>
    </row>
    <row r="133" s="2" customFormat="1" ht="18" customHeight="1" spans="1:16">
      <c r="A133" s="11" t="s">
        <v>67</v>
      </c>
      <c r="B133" s="8" t="s">
        <v>218</v>
      </c>
      <c r="C133" s="8" t="s">
        <v>35</v>
      </c>
      <c r="D133" s="8">
        <v>0</v>
      </c>
      <c r="E133" s="8"/>
      <c r="F133" s="10"/>
      <c r="G133" s="10"/>
      <c r="H133" s="10"/>
      <c r="I133" s="10"/>
      <c r="J133" s="8">
        <f t="shared" si="5"/>
        <v>0</v>
      </c>
      <c r="K133" s="25"/>
      <c r="L133" s="25"/>
      <c r="M133" s="25"/>
      <c r="N133" s="25"/>
      <c r="O133" s="25"/>
      <c r="P133" s="25">
        <f t="shared" si="6"/>
        <v>0</v>
      </c>
    </row>
    <row r="134" s="2" customFormat="1" ht="18" customHeight="1" spans="1:16">
      <c r="A134" s="18" t="s">
        <v>67</v>
      </c>
      <c r="B134" s="7" t="s">
        <v>218</v>
      </c>
      <c r="C134" s="8" t="s">
        <v>29</v>
      </c>
      <c r="D134" s="8">
        <v>0.835</v>
      </c>
      <c r="E134" s="8"/>
      <c r="F134" s="10">
        <f>0.835</f>
        <v>0.835</v>
      </c>
      <c r="G134" s="10"/>
      <c r="H134" s="10"/>
      <c r="I134" s="10"/>
      <c r="J134" s="8">
        <f t="shared" si="5"/>
        <v>0</v>
      </c>
      <c r="K134" s="25"/>
      <c r="L134" s="25"/>
      <c r="M134" s="25"/>
      <c r="N134" s="25"/>
      <c r="O134" s="25"/>
      <c r="P134" s="25">
        <f t="shared" si="6"/>
        <v>0</v>
      </c>
    </row>
    <row r="135" s="2" customFormat="1" ht="18" customHeight="1" spans="1:16">
      <c r="A135" s="18" t="s">
        <v>67</v>
      </c>
      <c r="B135" s="7" t="s">
        <v>218</v>
      </c>
      <c r="C135" s="8" t="s">
        <v>32</v>
      </c>
      <c r="D135" s="8">
        <v>20.545</v>
      </c>
      <c r="E135" s="8"/>
      <c r="F135" s="10">
        <f>20.545</f>
        <v>20.545</v>
      </c>
      <c r="G135" s="10"/>
      <c r="H135" s="10"/>
      <c r="I135" s="10"/>
      <c r="J135" s="8">
        <f t="shared" si="5"/>
        <v>0</v>
      </c>
      <c r="K135" s="25"/>
      <c r="L135" s="25"/>
      <c r="M135" s="25"/>
      <c r="N135" s="25"/>
      <c r="O135" s="25"/>
      <c r="P135" s="25">
        <f t="shared" si="6"/>
        <v>0</v>
      </c>
    </row>
    <row r="136" s="2" customFormat="1" ht="18" customHeight="1" spans="1:16">
      <c r="A136" s="18" t="s">
        <v>219</v>
      </c>
      <c r="B136" s="7" t="s">
        <v>220</v>
      </c>
      <c r="C136" s="8" t="s">
        <v>32</v>
      </c>
      <c r="D136" s="8">
        <v>0.1</v>
      </c>
      <c r="E136" s="8"/>
      <c r="F136" s="10">
        <f>0.1</f>
        <v>0.1</v>
      </c>
      <c r="G136" s="10"/>
      <c r="H136" s="10"/>
      <c r="I136" s="10"/>
      <c r="J136" s="8">
        <f t="shared" si="5"/>
        <v>0</v>
      </c>
      <c r="K136" s="25"/>
      <c r="L136" s="25"/>
      <c r="M136" s="25"/>
      <c r="N136" s="25"/>
      <c r="O136" s="25"/>
      <c r="P136" s="25">
        <f t="shared" si="6"/>
        <v>0</v>
      </c>
    </row>
    <row r="137" s="2" customFormat="1" ht="18" customHeight="1" spans="1:16">
      <c r="A137" s="18" t="s">
        <v>221</v>
      </c>
      <c r="B137" s="7" t="s">
        <v>222</v>
      </c>
      <c r="C137" s="8" t="s">
        <v>32</v>
      </c>
      <c r="D137" s="8">
        <v>0</v>
      </c>
      <c r="E137" s="8"/>
      <c r="F137" s="10"/>
      <c r="G137" s="10"/>
      <c r="H137" s="10"/>
      <c r="I137" s="10"/>
      <c r="J137" s="8">
        <f t="shared" si="5"/>
        <v>0</v>
      </c>
      <c r="K137" s="25"/>
      <c r="L137" s="25"/>
      <c r="M137" s="25"/>
      <c r="N137" s="25"/>
      <c r="O137" s="25"/>
      <c r="P137" s="25">
        <f t="shared" si="6"/>
        <v>0</v>
      </c>
    </row>
    <row r="138" s="2" customFormat="1" ht="18" customHeight="1" spans="1:16">
      <c r="A138" s="18" t="s">
        <v>223</v>
      </c>
      <c r="B138" s="8" t="s">
        <v>224</v>
      </c>
      <c r="C138" s="8" t="s">
        <v>29</v>
      </c>
      <c r="D138" s="8">
        <v>0</v>
      </c>
      <c r="E138" s="8"/>
      <c r="F138" s="10"/>
      <c r="G138" s="10"/>
      <c r="H138" s="10"/>
      <c r="I138" s="10"/>
      <c r="J138" s="8">
        <f t="shared" si="5"/>
        <v>0</v>
      </c>
      <c r="K138" s="25"/>
      <c r="L138" s="25"/>
      <c r="M138" s="25"/>
      <c r="N138" s="25"/>
      <c r="O138" s="25"/>
      <c r="P138" s="25">
        <f t="shared" si="6"/>
        <v>0</v>
      </c>
    </row>
    <row r="139" s="2" customFormat="1" ht="18" customHeight="1" spans="1:16">
      <c r="A139" s="18" t="s">
        <v>225</v>
      </c>
      <c r="B139" s="8" t="s">
        <v>224</v>
      </c>
      <c r="C139" s="8" t="s">
        <v>35</v>
      </c>
      <c r="D139" s="8">
        <v>0</v>
      </c>
      <c r="E139" s="8"/>
      <c r="F139" s="10"/>
      <c r="G139" s="10"/>
      <c r="H139" s="10"/>
      <c r="I139" s="10"/>
      <c r="J139" s="8">
        <f t="shared" si="5"/>
        <v>0</v>
      </c>
      <c r="K139" s="25"/>
      <c r="L139" s="25"/>
      <c r="M139" s="25"/>
      <c r="N139" s="25"/>
      <c r="O139" s="25"/>
      <c r="P139" s="25">
        <f t="shared" si="6"/>
        <v>0</v>
      </c>
    </row>
    <row r="140" s="2" customFormat="1" ht="18" customHeight="1" spans="1:16">
      <c r="A140" s="18" t="s">
        <v>226</v>
      </c>
      <c r="B140" s="35" t="s">
        <v>227</v>
      </c>
      <c r="C140" s="8" t="s">
        <v>32</v>
      </c>
      <c r="D140" s="8">
        <v>0</v>
      </c>
      <c r="E140" s="8"/>
      <c r="F140" s="10"/>
      <c r="G140" s="10"/>
      <c r="H140" s="10"/>
      <c r="I140" s="10"/>
      <c r="J140" s="8">
        <f t="shared" si="5"/>
        <v>0</v>
      </c>
      <c r="K140" s="25"/>
      <c r="L140" s="25"/>
      <c r="M140" s="25"/>
      <c r="N140" s="25"/>
      <c r="O140" s="25"/>
      <c r="P140" s="25">
        <f t="shared" si="6"/>
        <v>0</v>
      </c>
    </row>
    <row r="141" s="2" customFormat="1" ht="18" customHeight="1" spans="1:16">
      <c r="A141" s="9" t="s">
        <v>228</v>
      </c>
      <c r="B141" s="8" t="s">
        <v>227</v>
      </c>
      <c r="C141" s="8" t="s">
        <v>29</v>
      </c>
      <c r="D141" s="8">
        <v>0</v>
      </c>
      <c r="E141" s="8"/>
      <c r="F141" s="10"/>
      <c r="G141" s="10"/>
      <c r="H141" s="10"/>
      <c r="I141" s="10"/>
      <c r="J141" s="8">
        <f t="shared" si="5"/>
        <v>0</v>
      </c>
      <c r="K141" s="25"/>
      <c r="L141" s="25"/>
      <c r="M141" s="25"/>
      <c r="N141" s="25"/>
      <c r="O141" s="25"/>
      <c r="P141" s="25">
        <f t="shared" si="6"/>
        <v>0</v>
      </c>
    </row>
    <row r="142" s="2" customFormat="1" ht="18" customHeight="1" spans="1:16">
      <c r="A142" s="11" t="s">
        <v>229</v>
      </c>
      <c r="B142" s="4" t="s">
        <v>227</v>
      </c>
      <c r="C142" s="8" t="s">
        <v>35</v>
      </c>
      <c r="D142" s="8">
        <v>0</v>
      </c>
      <c r="E142" s="8"/>
      <c r="F142" s="10"/>
      <c r="G142" s="10"/>
      <c r="H142" s="10"/>
      <c r="I142" s="10"/>
      <c r="J142" s="8">
        <f t="shared" si="5"/>
        <v>0</v>
      </c>
      <c r="K142" s="25"/>
      <c r="L142" s="25"/>
      <c r="M142" s="25"/>
      <c r="N142" s="25"/>
      <c r="O142" s="25"/>
      <c r="P142" s="25">
        <f t="shared" si="6"/>
        <v>0</v>
      </c>
    </row>
    <row r="143" s="2" customFormat="1" ht="18" customHeight="1" spans="1:16">
      <c r="A143" s="11" t="s">
        <v>223</v>
      </c>
      <c r="B143" s="8" t="s">
        <v>230</v>
      </c>
      <c r="C143" s="8" t="s">
        <v>29</v>
      </c>
      <c r="D143" s="8">
        <v>0</v>
      </c>
      <c r="E143" s="8"/>
      <c r="F143" s="10"/>
      <c r="G143" s="10"/>
      <c r="H143" s="10"/>
      <c r="I143" s="10"/>
      <c r="J143" s="8">
        <f t="shared" si="5"/>
        <v>0</v>
      </c>
      <c r="K143" s="25"/>
      <c r="L143" s="25"/>
      <c r="M143" s="25"/>
      <c r="N143" s="25"/>
      <c r="O143" s="25"/>
      <c r="P143" s="25">
        <f t="shared" si="6"/>
        <v>0</v>
      </c>
    </row>
    <row r="144" s="2" customFormat="1" ht="18" customHeight="1" spans="1:16">
      <c r="A144" s="11" t="s">
        <v>223</v>
      </c>
      <c r="B144" s="8" t="s">
        <v>231</v>
      </c>
      <c r="C144" s="8" t="s">
        <v>29</v>
      </c>
      <c r="D144" s="8">
        <v>0</v>
      </c>
      <c r="E144" s="8"/>
      <c r="F144" s="10"/>
      <c r="G144" s="10"/>
      <c r="H144" s="10"/>
      <c r="I144" s="10"/>
      <c r="J144" s="8">
        <f t="shared" si="5"/>
        <v>0</v>
      </c>
      <c r="K144" s="25"/>
      <c r="L144" s="25"/>
      <c r="M144" s="25"/>
      <c r="N144" s="25"/>
      <c r="O144" s="25"/>
      <c r="P144" s="25">
        <f t="shared" si="6"/>
        <v>0</v>
      </c>
    </row>
    <row r="145" s="2" customFormat="1" ht="18" customHeight="1" spans="1:16">
      <c r="A145" s="11" t="s">
        <v>232</v>
      </c>
      <c r="B145" s="8" t="s">
        <v>233</v>
      </c>
      <c r="C145" s="8" t="s">
        <v>29</v>
      </c>
      <c r="D145" s="8">
        <v>0</v>
      </c>
      <c r="E145" s="8"/>
      <c r="F145" s="10"/>
      <c r="G145" s="10"/>
      <c r="H145" s="10"/>
      <c r="I145" s="10"/>
      <c r="J145" s="8">
        <f t="shared" si="5"/>
        <v>0</v>
      </c>
      <c r="K145" s="25"/>
      <c r="L145" s="25"/>
      <c r="M145" s="25"/>
      <c r="N145" s="25"/>
      <c r="O145" s="25"/>
      <c r="P145" s="25">
        <f t="shared" si="6"/>
        <v>0</v>
      </c>
    </row>
    <row r="146" s="2" customFormat="1" ht="18" customHeight="1" spans="1:16">
      <c r="A146" s="39" t="s">
        <v>234</v>
      </c>
      <c r="B146" s="8" t="s">
        <v>235</v>
      </c>
      <c r="C146" s="8" t="s">
        <v>29</v>
      </c>
      <c r="D146" s="8">
        <v>201.12</v>
      </c>
      <c r="E146" s="8">
        <f>32.64</f>
        <v>32.64</v>
      </c>
      <c r="F146" s="10"/>
      <c r="G146" s="10">
        <f>25.5+4.08</f>
        <v>29.58</v>
      </c>
      <c r="H146" s="10"/>
      <c r="I146" s="10"/>
      <c r="J146" s="8">
        <f t="shared" si="5"/>
        <v>204.18</v>
      </c>
      <c r="K146" s="25"/>
      <c r="L146" s="25"/>
      <c r="M146" s="25"/>
      <c r="N146" s="25">
        <v>204.18</v>
      </c>
      <c r="O146" s="25"/>
      <c r="P146" s="25">
        <f t="shared" si="6"/>
        <v>204.18</v>
      </c>
    </row>
    <row r="147" s="2" customFormat="1" ht="18" customHeight="1" spans="1:16">
      <c r="A147" s="11" t="s">
        <v>79</v>
      </c>
      <c r="B147" s="8" t="s">
        <v>236</v>
      </c>
      <c r="C147" s="8" t="s">
        <v>32</v>
      </c>
      <c r="D147" s="8">
        <v>0</v>
      </c>
      <c r="E147" s="8">
        <f>0.191</f>
        <v>0.191</v>
      </c>
      <c r="F147" s="10"/>
      <c r="G147" s="10"/>
      <c r="H147" s="10"/>
      <c r="I147" s="10"/>
      <c r="J147" s="8">
        <f t="shared" si="5"/>
        <v>0.191</v>
      </c>
      <c r="K147" s="25"/>
      <c r="L147" s="25">
        <v>0.191</v>
      </c>
      <c r="M147" s="25"/>
      <c r="N147" s="25"/>
      <c r="O147" s="25"/>
      <c r="P147" s="25">
        <f t="shared" si="6"/>
        <v>0.191</v>
      </c>
    </row>
    <row r="148" s="2" customFormat="1" ht="18" customHeight="1" spans="1:16">
      <c r="A148" s="40" t="s">
        <v>67</v>
      </c>
      <c r="B148" s="8" t="s">
        <v>237</v>
      </c>
      <c r="C148" s="8" t="s">
        <v>35</v>
      </c>
      <c r="D148" s="8">
        <v>0.68</v>
      </c>
      <c r="E148" s="8"/>
      <c r="F148" s="10">
        <f>0.68</f>
        <v>0.68</v>
      </c>
      <c r="G148" s="10"/>
      <c r="H148" s="10"/>
      <c r="I148" s="10"/>
      <c r="J148" s="8">
        <f t="shared" si="5"/>
        <v>0</v>
      </c>
      <c r="K148" s="25"/>
      <c r="L148" s="25"/>
      <c r="M148" s="25"/>
      <c r="N148" s="25"/>
      <c r="O148" s="25"/>
      <c r="P148" s="25">
        <f t="shared" si="6"/>
        <v>0</v>
      </c>
    </row>
    <row r="149" s="2" customFormat="1" ht="18" customHeight="1" spans="1:16">
      <c r="A149" s="40" t="s">
        <v>67</v>
      </c>
      <c r="B149" s="8" t="s">
        <v>237</v>
      </c>
      <c r="C149" s="8" t="s">
        <v>32</v>
      </c>
      <c r="D149" s="8">
        <v>28.19</v>
      </c>
      <c r="E149" s="8"/>
      <c r="F149" s="10">
        <f>10+16.22+1.97</f>
        <v>28.19</v>
      </c>
      <c r="G149" s="10"/>
      <c r="H149" s="10"/>
      <c r="I149" s="10"/>
      <c r="J149" s="8">
        <f t="shared" si="5"/>
        <v>0</v>
      </c>
      <c r="K149" s="25"/>
      <c r="L149" s="25"/>
      <c r="M149" s="25"/>
      <c r="N149" s="25"/>
      <c r="O149" s="25"/>
      <c r="P149" s="25">
        <f t="shared" si="6"/>
        <v>0</v>
      </c>
    </row>
    <row r="150" s="2" customFormat="1" ht="18" customHeight="1" spans="1:16">
      <c r="A150" s="12" t="s">
        <v>238</v>
      </c>
      <c r="B150" s="16" t="s">
        <v>239</v>
      </c>
      <c r="C150" s="8" t="s">
        <v>32</v>
      </c>
      <c r="D150" s="8">
        <v>132.8255</v>
      </c>
      <c r="E150" s="8">
        <f>36.73+13.693+47.97+16.207+117.5159+25.068+12.932+16.8005+17.65318+22.90385+34.4845</f>
        <v>361.95793</v>
      </c>
      <c r="F150" s="10">
        <f>27.992+31.666+15.185+7.581+11.646+9.042+31.7815+9.279+26.8825+19.882+40.473+10.743+26.638+20.8834+17.013+19.3275</f>
        <v>326.0149</v>
      </c>
      <c r="G150" s="10"/>
      <c r="H150" s="10">
        <f>10.323+6.722</f>
        <v>17.045</v>
      </c>
      <c r="I150" s="10"/>
      <c r="J150" s="8">
        <f t="shared" si="5"/>
        <v>151.72353</v>
      </c>
      <c r="K150" s="25">
        <f>103.3858-70</f>
        <v>33.3858</v>
      </c>
      <c r="L150" s="25">
        <f>48.33773-30</f>
        <v>18.33773</v>
      </c>
      <c r="M150" s="25"/>
      <c r="N150" s="25"/>
      <c r="O150" s="25">
        <f>70+30</f>
        <v>100</v>
      </c>
      <c r="P150" s="25">
        <f t="shared" si="6"/>
        <v>151.72353</v>
      </c>
    </row>
    <row r="151" s="2" customFormat="1" ht="18" customHeight="1" spans="1:16">
      <c r="A151" s="15" t="s">
        <v>240</v>
      </c>
      <c r="B151" s="16" t="s">
        <v>239</v>
      </c>
      <c r="C151" s="8" t="s">
        <v>35</v>
      </c>
      <c r="D151" s="8">
        <v>0</v>
      </c>
      <c r="E151" s="8"/>
      <c r="F151" s="10"/>
      <c r="G151" s="10"/>
      <c r="H151" s="10"/>
      <c r="I151" s="10"/>
      <c r="J151" s="8">
        <f t="shared" si="5"/>
        <v>0</v>
      </c>
      <c r="K151" s="25"/>
      <c r="L151" s="25"/>
      <c r="M151" s="25"/>
      <c r="N151" s="25"/>
      <c r="O151" s="25"/>
      <c r="P151" s="25">
        <f t="shared" si="6"/>
        <v>0</v>
      </c>
    </row>
    <row r="152" s="2" customFormat="1" ht="18" customHeight="1" spans="1:16">
      <c r="A152" s="9" t="s">
        <v>241</v>
      </c>
      <c r="B152" s="16" t="s">
        <v>239</v>
      </c>
      <c r="C152" s="8" t="s">
        <v>29</v>
      </c>
      <c r="D152" s="8">
        <v>0</v>
      </c>
      <c r="E152" s="8"/>
      <c r="F152" s="10"/>
      <c r="G152" s="10"/>
      <c r="H152" s="10"/>
      <c r="I152" s="10"/>
      <c r="J152" s="8">
        <f t="shared" si="5"/>
        <v>0</v>
      </c>
      <c r="K152" s="25"/>
      <c r="L152" s="25"/>
      <c r="M152" s="25"/>
      <c r="N152" s="25"/>
      <c r="O152" s="25"/>
      <c r="P152" s="25">
        <f t="shared" si="6"/>
        <v>0</v>
      </c>
    </row>
    <row r="153" s="2" customFormat="1" ht="18" customHeight="1" spans="1:16">
      <c r="A153" s="11" t="s">
        <v>242</v>
      </c>
      <c r="B153" s="16" t="s">
        <v>243</v>
      </c>
      <c r="C153" s="8" t="s">
        <v>32</v>
      </c>
      <c r="D153" s="8">
        <v>0</v>
      </c>
      <c r="E153" s="8">
        <f>0.326+0.267+0.324+0.262</f>
        <v>1.179</v>
      </c>
      <c r="F153" s="10">
        <f>0.326+0.267+0.324</f>
        <v>0.917</v>
      </c>
      <c r="G153" s="10"/>
      <c r="H153" s="10"/>
      <c r="I153" s="10"/>
      <c r="J153" s="8">
        <f t="shared" si="5"/>
        <v>0.262</v>
      </c>
      <c r="K153" s="25">
        <v>0.262</v>
      </c>
      <c r="L153" s="25"/>
      <c r="M153" s="25"/>
      <c r="N153" s="25"/>
      <c r="O153" s="25"/>
      <c r="P153" s="25">
        <f t="shared" si="6"/>
        <v>0.262</v>
      </c>
    </row>
    <row r="154" s="2" customFormat="1" ht="18" customHeight="1" spans="1:16">
      <c r="A154" s="12" t="s">
        <v>67</v>
      </c>
      <c r="B154" s="16" t="s">
        <v>244</v>
      </c>
      <c r="C154" s="8" t="s">
        <v>32</v>
      </c>
      <c r="D154" s="8">
        <v>9.4</v>
      </c>
      <c r="E154" s="8"/>
      <c r="F154" s="10">
        <f>5+4.4</f>
        <v>9.4</v>
      </c>
      <c r="G154" s="10"/>
      <c r="H154" s="10"/>
      <c r="I154" s="10"/>
      <c r="J154" s="8">
        <f t="shared" si="5"/>
        <v>0</v>
      </c>
      <c r="K154" s="25"/>
      <c r="L154" s="25"/>
      <c r="M154" s="25"/>
      <c r="N154" s="25"/>
      <c r="O154" s="25"/>
      <c r="P154" s="25">
        <f t="shared" si="6"/>
        <v>0</v>
      </c>
    </row>
    <row r="155" s="2" customFormat="1" ht="18" customHeight="1" spans="1:16">
      <c r="A155" s="12" t="s">
        <v>67</v>
      </c>
      <c r="B155" s="16" t="s">
        <v>244</v>
      </c>
      <c r="C155" s="8" t="s">
        <v>35</v>
      </c>
      <c r="D155" s="8">
        <v>2.595</v>
      </c>
      <c r="E155" s="8"/>
      <c r="F155" s="10">
        <f>0.595+2</f>
        <v>2.595</v>
      </c>
      <c r="G155" s="10"/>
      <c r="H155" s="10"/>
      <c r="I155" s="10"/>
      <c r="J155" s="8">
        <f t="shared" si="5"/>
        <v>0</v>
      </c>
      <c r="K155" s="25"/>
      <c r="L155" s="25"/>
      <c r="M155" s="25"/>
      <c r="N155" s="25"/>
      <c r="O155" s="25"/>
      <c r="P155" s="25">
        <f t="shared" si="6"/>
        <v>0</v>
      </c>
    </row>
    <row r="156" s="2" customFormat="1" ht="18" customHeight="1" spans="1:16">
      <c r="A156" s="12" t="s">
        <v>79</v>
      </c>
      <c r="B156" s="8" t="s">
        <v>245</v>
      </c>
      <c r="C156" s="8" t="s">
        <v>32</v>
      </c>
      <c r="D156" s="8">
        <v>22.6195</v>
      </c>
      <c r="E156" s="8">
        <f>4.4625+0.244+0.365+0.1+0.59+0.03+1.14+0.86</f>
        <v>7.7915</v>
      </c>
      <c r="F156" s="8">
        <f>2.6835+3.62+4.216+8+4.1+0.02+4.5525+0.03+0.104+0.08</f>
        <v>27.406</v>
      </c>
      <c r="G156" s="8"/>
      <c r="H156" s="8"/>
      <c r="I156" s="8"/>
      <c r="J156" s="8">
        <f t="shared" si="5"/>
        <v>3.005</v>
      </c>
      <c r="K156" s="25">
        <f>0.16</f>
        <v>0.16</v>
      </c>
      <c r="L156" s="25">
        <v>2.845</v>
      </c>
      <c r="M156" s="25"/>
      <c r="N156" s="25"/>
      <c r="O156" s="25"/>
      <c r="P156" s="25">
        <f t="shared" si="6"/>
        <v>3.005</v>
      </c>
    </row>
    <row r="157" s="2" customFormat="1" ht="18" customHeight="1" spans="1:16">
      <c r="A157" s="11" t="s">
        <v>246</v>
      </c>
      <c r="B157" s="8" t="s">
        <v>247</v>
      </c>
      <c r="C157" s="8" t="s">
        <v>32</v>
      </c>
      <c r="D157" s="8">
        <v>0</v>
      </c>
      <c r="E157" s="8"/>
      <c r="F157" s="8"/>
      <c r="G157" s="8"/>
      <c r="H157" s="8"/>
      <c r="I157" s="8"/>
      <c r="J157" s="8">
        <f t="shared" si="5"/>
        <v>0</v>
      </c>
      <c r="K157" s="25"/>
      <c r="L157" s="25"/>
      <c r="M157" s="25"/>
      <c r="N157" s="25"/>
      <c r="O157" s="25"/>
      <c r="P157" s="25">
        <f t="shared" si="6"/>
        <v>0</v>
      </c>
    </row>
    <row r="158" s="2" customFormat="1" ht="18" customHeight="1" spans="1:16">
      <c r="A158" s="11" t="s">
        <v>67</v>
      </c>
      <c r="B158" s="8" t="s">
        <v>247</v>
      </c>
      <c r="C158" s="8" t="s">
        <v>35</v>
      </c>
      <c r="D158" s="8">
        <v>0</v>
      </c>
      <c r="E158" s="8"/>
      <c r="F158" s="8"/>
      <c r="G158" s="8"/>
      <c r="H158" s="8"/>
      <c r="I158" s="8"/>
      <c r="J158" s="8">
        <f t="shared" si="5"/>
        <v>0</v>
      </c>
      <c r="K158" s="25"/>
      <c r="L158" s="25"/>
      <c r="M158" s="25"/>
      <c r="N158" s="25"/>
      <c r="O158" s="25"/>
      <c r="P158" s="25">
        <f t="shared" si="6"/>
        <v>0</v>
      </c>
    </row>
    <row r="159" s="2" customFormat="1" ht="18" customHeight="1" spans="1:16">
      <c r="A159" s="11" t="s">
        <v>248</v>
      </c>
      <c r="B159" s="16" t="s">
        <v>249</v>
      </c>
      <c r="C159" s="8" t="s">
        <v>32</v>
      </c>
      <c r="D159" s="8">
        <v>0.56</v>
      </c>
      <c r="E159" s="8">
        <f>0.2334+0.10063+0.251+0.1228+0.1161+5.82945+0.05</f>
        <v>6.70338</v>
      </c>
      <c r="F159" s="10">
        <f>0.56+0.2534+0.08063+0.051+0.3228+0.041</f>
        <v>1.30883</v>
      </c>
      <c r="G159" s="10"/>
      <c r="H159" s="10"/>
      <c r="I159" s="10"/>
      <c r="J159" s="8">
        <f t="shared" si="5"/>
        <v>5.95455</v>
      </c>
      <c r="K159" s="25">
        <v>0.3295</v>
      </c>
      <c r="L159" s="25">
        <v>5.62505</v>
      </c>
      <c r="M159" s="25"/>
      <c r="N159" s="25"/>
      <c r="O159" s="25"/>
      <c r="P159" s="25">
        <f t="shared" si="6"/>
        <v>5.95455</v>
      </c>
    </row>
    <row r="160" s="2" customFormat="1" ht="18" customHeight="1" spans="1:16">
      <c r="A160" s="11" t="s">
        <v>250</v>
      </c>
      <c r="B160" s="16" t="s">
        <v>249</v>
      </c>
      <c r="C160" s="8" t="s">
        <v>29</v>
      </c>
      <c r="D160" s="8">
        <v>45.8411</v>
      </c>
      <c r="E160" s="8">
        <f>3.881+5.61248+3.013+2.1799+4.27685+0.112+2.612+12.52005+7.43713+3.60735</f>
        <v>45.25176</v>
      </c>
      <c r="F160" s="10">
        <f>0.505+0.993+1.613+4.7815+2.06+5.319</f>
        <v>15.2715</v>
      </c>
      <c r="G160" s="10">
        <f>0.454+3.6417+8.21+0.08+2.896+0.83948</f>
        <v>16.12118</v>
      </c>
      <c r="H160" s="10"/>
      <c r="I160" s="10"/>
      <c r="J160" s="8">
        <f t="shared" si="5"/>
        <v>59.70018</v>
      </c>
      <c r="K160" s="25"/>
      <c r="L160" s="25">
        <v>59.70018</v>
      </c>
      <c r="M160" s="25"/>
      <c r="N160" s="25"/>
      <c r="O160" s="25"/>
      <c r="P160" s="25">
        <f t="shared" si="6"/>
        <v>59.70018</v>
      </c>
    </row>
    <row r="161" s="2" customFormat="1" ht="18" customHeight="1" spans="1:16">
      <c r="A161" s="9" t="s">
        <v>251</v>
      </c>
      <c r="B161" s="16" t="s">
        <v>252</v>
      </c>
      <c r="C161" s="8" t="s">
        <v>32</v>
      </c>
      <c r="D161" s="8">
        <v>0.72</v>
      </c>
      <c r="E161" s="8">
        <f>0.0044+0.14631</f>
        <v>0.15071</v>
      </c>
      <c r="F161" s="10"/>
      <c r="G161" s="10"/>
      <c r="H161" s="10"/>
      <c r="I161" s="10"/>
      <c r="J161" s="8">
        <f t="shared" si="5"/>
        <v>0.87071</v>
      </c>
      <c r="K161" s="25">
        <v>0.72</v>
      </c>
      <c r="L161" s="25">
        <v>0.15071</v>
      </c>
      <c r="M161" s="25"/>
      <c r="N161" s="25"/>
      <c r="O161" s="25"/>
      <c r="P161" s="25">
        <f t="shared" si="6"/>
        <v>0.87071</v>
      </c>
    </row>
    <row r="162" s="2" customFormat="1" ht="18" customHeight="1" spans="1:16">
      <c r="A162" s="11" t="s">
        <v>253</v>
      </c>
      <c r="B162" s="16" t="s">
        <v>252</v>
      </c>
      <c r="C162" s="8" t="s">
        <v>29</v>
      </c>
      <c r="D162" s="8">
        <v>17.251</v>
      </c>
      <c r="E162" s="8"/>
      <c r="F162" s="10">
        <f>0.771+4</f>
        <v>4.771</v>
      </c>
      <c r="G162" s="10">
        <f>12.48</f>
        <v>12.48</v>
      </c>
      <c r="H162" s="10"/>
      <c r="I162" s="10"/>
      <c r="J162" s="8">
        <f t="shared" si="5"/>
        <v>0</v>
      </c>
      <c r="K162" s="25"/>
      <c r="L162" s="25"/>
      <c r="M162" s="25"/>
      <c r="N162" s="25"/>
      <c r="O162" s="25"/>
      <c r="P162" s="25">
        <f t="shared" si="6"/>
        <v>0</v>
      </c>
    </row>
    <row r="163" s="2" customFormat="1" ht="18" customHeight="1" spans="1:16">
      <c r="A163" s="11" t="s">
        <v>254</v>
      </c>
      <c r="B163" s="16" t="s">
        <v>255</v>
      </c>
      <c r="C163" s="8" t="s">
        <v>32</v>
      </c>
      <c r="D163" s="8">
        <v>0.1</v>
      </c>
      <c r="E163" s="8"/>
      <c r="F163" s="10">
        <f>0.1</f>
        <v>0.1</v>
      </c>
      <c r="G163" s="10"/>
      <c r="H163" s="10"/>
      <c r="I163" s="10"/>
      <c r="J163" s="8">
        <f t="shared" si="5"/>
        <v>0</v>
      </c>
      <c r="K163" s="25"/>
      <c r="L163" s="25"/>
      <c r="M163" s="25"/>
      <c r="N163" s="25"/>
      <c r="O163" s="25"/>
      <c r="P163" s="25">
        <f t="shared" si="6"/>
        <v>0</v>
      </c>
    </row>
    <row r="164" s="2" customFormat="1" ht="18" customHeight="1" spans="1:16">
      <c r="A164" s="11" t="s">
        <v>254</v>
      </c>
      <c r="B164" s="16" t="s">
        <v>256</v>
      </c>
      <c r="C164" s="8" t="s">
        <v>32</v>
      </c>
      <c r="D164" s="8">
        <v>0</v>
      </c>
      <c r="E164" s="8"/>
      <c r="F164" s="10"/>
      <c r="G164" s="10"/>
      <c r="H164" s="10"/>
      <c r="I164" s="10"/>
      <c r="J164" s="8">
        <f t="shared" si="5"/>
        <v>0</v>
      </c>
      <c r="K164" s="25"/>
      <c r="L164" s="25"/>
      <c r="M164" s="25"/>
      <c r="N164" s="25"/>
      <c r="O164" s="25"/>
      <c r="P164" s="25">
        <f t="shared" si="6"/>
        <v>0</v>
      </c>
    </row>
    <row r="165" s="2" customFormat="1" ht="18" customHeight="1" spans="1:16">
      <c r="A165" s="12" t="s">
        <v>257</v>
      </c>
      <c r="B165" s="8"/>
      <c r="C165" s="8"/>
      <c r="D165" s="8">
        <v>4603.67432</v>
      </c>
      <c r="E165" s="16">
        <f t="shared" ref="E165:I165" si="7">SUM(E4:E164)</f>
        <v>1829.34188</v>
      </c>
      <c r="F165" s="16">
        <f t="shared" si="7"/>
        <v>1378.25398</v>
      </c>
      <c r="G165" s="16">
        <f t="shared" si="7"/>
        <v>312.07451</v>
      </c>
      <c r="H165" s="16">
        <f t="shared" si="7"/>
        <v>21.145</v>
      </c>
      <c r="I165" s="16">
        <f t="shared" si="7"/>
        <v>0</v>
      </c>
      <c r="J165" s="8">
        <f t="shared" si="5"/>
        <v>4721.54271</v>
      </c>
      <c r="K165" s="25">
        <f t="shared" ref="K165:P165" si="8">SUM(K4:K164)</f>
        <v>1028.6949</v>
      </c>
      <c r="L165" s="25">
        <f t="shared" si="8"/>
        <v>1269.08522</v>
      </c>
      <c r="M165" s="25">
        <f t="shared" si="8"/>
        <v>0</v>
      </c>
      <c r="N165" s="25">
        <f t="shared" si="8"/>
        <v>2058.76259</v>
      </c>
      <c r="O165" s="25">
        <f t="shared" si="8"/>
        <v>365</v>
      </c>
      <c r="P165" s="25">
        <f t="shared" si="8"/>
        <v>4721.54271</v>
      </c>
    </row>
    <row r="166" s="1" customFormat="1" ht="25" customHeight="1" spans="1:10">
      <c r="A166" s="41" t="s">
        <v>258</v>
      </c>
      <c r="B166" s="27"/>
      <c r="C166" s="41"/>
      <c r="D166" s="27"/>
      <c r="E166" s="27"/>
      <c r="F166" s="42">
        <f>F165+G165+H165</f>
        <v>1711.47349</v>
      </c>
      <c r="G166" s="43"/>
      <c r="H166" s="43"/>
      <c r="I166" s="43"/>
      <c r="J166" s="27"/>
    </row>
    <row r="167" s="2" customFormat="1" ht="14.25" spans="1:16">
      <c r="A167" s="1"/>
      <c r="B167" s="2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2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2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2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2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2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2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2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2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2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2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2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2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2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2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="2" customFormat="1" ht="14.25" spans="1:16">
      <c r="A196" s="1"/>
      <c r="B196" s="2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="2" customFormat="1" ht="14.25" spans="1:16">
      <c r="A197" s="1"/>
      <c r="B197" s="2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="2" customFormat="1" ht="14.25" spans="1:16">
      <c r="A198" s="1"/>
      <c r="B198" s="2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="2" customFormat="1" ht="14.25" spans="1:16">
      <c r="A199" s="1"/>
      <c r="B199" s="2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="2" customFormat="1" ht="14.25" spans="1:16">
      <c r="A200" s="1"/>
      <c r="B200" s="2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="2" customFormat="1" ht="14.25" spans="1:16">
      <c r="A201" s="1"/>
      <c r="B201" s="2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="2" customFormat="1" ht="14.25" spans="1:16">
      <c r="A202" s="1"/>
      <c r="B202" s="2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="2" customFormat="1" ht="14.25" spans="1:16">
      <c r="A203" s="1"/>
      <c r="B203" s="2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="2" customFormat="1" ht="14.25" spans="1:16">
      <c r="A204" s="1"/>
      <c r="B204" s="2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="2" customFormat="1" ht="14.25" spans="1:16">
      <c r="A205" s="1"/>
      <c r="B205" s="2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="2" customFormat="1" ht="14.25" spans="1:16">
      <c r="A206" s="1"/>
      <c r="B206" s="2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="2" customFormat="1" ht="14.25" spans="1:16">
      <c r="A207" s="1"/>
      <c r="B207" s="2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="2" customFormat="1" ht="14.25" spans="1:16">
      <c r="A208" s="1"/>
      <c r="B208" s="2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="2" customFormat="1" ht="14.25" spans="1:16">
      <c r="A209" s="1"/>
      <c r="B209" s="2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="2" customFormat="1" ht="14.25" spans="1:16">
      <c r="A210" s="1"/>
      <c r="B210" s="2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="2" customFormat="1" ht="14.25" spans="1:16">
      <c r="A211" s="1"/>
      <c r="B211" s="2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="2" customFormat="1" ht="14.25" spans="1:16">
      <c r="A212" s="1"/>
      <c r="B212" s="2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="2" customFormat="1" ht="14.25" spans="1:16">
      <c r="A213" s="1"/>
      <c r="B213" s="2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="2" customFormat="1" ht="14.25" spans="1:16">
      <c r="A214" s="1"/>
      <c r="B214" s="2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="2" customFormat="1" ht="14.25" spans="1:16">
      <c r="A215" s="1"/>
      <c r="B215" s="2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="2" customFormat="1" ht="14.25" spans="1:16">
      <c r="A216" s="1"/>
      <c r="B216" s="2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="2" customFormat="1" ht="14.25" spans="1:16">
      <c r="A217" s="1"/>
      <c r="B217" s="2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="2" customFormat="1" ht="14.25" spans="1:16">
      <c r="A218" s="1"/>
      <c r="B218" s="2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="2" customFormat="1" ht="14.25" spans="1:16">
      <c r="A219" s="1"/>
      <c r="B219" s="2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="2" customFormat="1" ht="14.25" spans="1:16">
      <c r="A220" s="1"/>
      <c r="B220" s="2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="2" customFormat="1" ht="14.25" spans="1:16">
      <c r="A221" s="1"/>
      <c r="B221" s="2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="2" customFormat="1" ht="14.25" spans="1:16">
      <c r="A222" s="1"/>
      <c r="B222" s="2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="2" customFormat="1" ht="14.25" spans="1:16">
      <c r="A223" s="1"/>
      <c r="B223" s="2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="2" customFormat="1" ht="14.25" spans="1:16">
      <c r="A224" s="1"/>
      <c r="B224" s="2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="2" customFormat="1" ht="14.25" spans="1:16">
      <c r="A225" s="1"/>
      <c r="B225" s="2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="2" customFormat="1" ht="14.25" spans="1:16">
      <c r="A226" s="1"/>
      <c r="B226" s="2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="2" customFormat="1" ht="14.25" spans="1:16">
      <c r="A227" s="1"/>
      <c r="B227" s="2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="2" customFormat="1" ht="14.25" spans="1:16">
      <c r="A228" s="1"/>
      <c r="B228" s="2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="2" customFormat="1" ht="14.25" spans="1:16">
      <c r="A229" s="1"/>
      <c r="B229" s="2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="2" customFormat="1" ht="14.25" spans="1:16">
      <c r="A230" s="1"/>
      <c r="B230" s="2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="2" customFormat="1" ht="14.25" spans="1:16">
      <c r="A231" s="1"/>
      <c r="B231" s="2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="2" customFormat="1" ht="14.25" spans="1:16">
      <c r="A232" s="1"/>
      <c r="B232" s="2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="2" customFormat="1" ht="14.25" spans="1:16">
      <c r="A233" s="1"/>
      <c r="B233" s="2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="2" customFormat="1" ht="14.25" spans="1:16">
      <c r="A234" s="1"/>
      <c r="B234" s="2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="2" customFormat="1" ht="14.25" spans="1:16">
      <c r="A235" s="1"/>
      <c r="B235" s="2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="2" customFormat="1" ht="14.25" spans="1:16">
      <c r="A236" s="1"/>
      <c r="B236" s="2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="2" customFormat="1" ht="14.25" spans="1:16">
      <c r="A237" s="1"/>
      <c r="B237" s="2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="2" customFormat="1" ht="14.25" spans="1:16">
      <c r="A238" s="1"/>
      <c r="B238" s="2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="2" customFormat="1" ht="14.25" spans="1:16">
      <c r="A239" s="1"/>
      <c r="B239" s="2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="2" customFormat="1" ht="14.25" spans="1:16">
      <c r="A240" s="1"/>
      <c r="B240" s="2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="2" customFormat="1" ht="14.25" spans="1:16">
      <c r="A241" s="1"/>
      <c r="B241" s="2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="2" customFormat="1" ht="14.25" spans="1:16">
      <c r="A242" s="1"/>
      <c r="B242" s="2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="2" customFormat="1" ht="14.25" spans="1:16">
      <c r="A243" s="1"/>
      <c r="B243" s="2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="2" customFormat="1" ht="14.25" spans="1:16">
      <c r="A244" s="1"/>
      <c r="B244" s="2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="2" customFormat="1" ht="14.25" spans="1:16">
      <c r="A245" s="1"/>
      <c r="B245" s="2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="2" customFormat="1" ht="14.25" spans="1:16">
      <c r="A246" s="1"/>
      <c r="B246" s="2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="2" customFormat="1" ht="14.25" spans="1:16">
      <c r="A247" s="1"/>
      <c r="B247" s="2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="2" customFormat="1" ht="14.25" spans="1:16">
      <c r="A248" s="1"/>
      <c r="B248" s="2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="2" customFormat="1" ht="14.25" spans="1:16">
      <c r="A249" s="1"/>
      <c r="B249" s="2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="2" customFormat="1" ht="14.25" spans="1:16">
      <c r="A250" s="1"/>
      <c r="B250" s="2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="2" customFormat="1" ht="14.25" spans="1:16">
      <c r="A251" s="1"/>
      <c r="B251" s="2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="2" customFormat="1" ht="14.25" spans="1:16">
      <c r="A252" s="1"/>
      <c r="B252" s="2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="2" customFormat="1" ht="14.25" spans="1:16">
      <c r="A253" s="1"/>
      <c r="B253" s="2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="2" customFormat="1" ht="14.25" spans="1:16">
      <c r="A254" s="1"/>
      <c r="B254" s="2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="2" customFormat="1" ht="14.25" spans="1:16">
      <c r="A255" s="1"/>
      <c r="B255" s="2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="2" customFormat="1" ht="14.25" spans="1:16">
      <c r="A256" s="1"/>
      <c r="B256" s="2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="2" customFormat="1" ht="14.25" spans="1:16">
      <c r="A257" s="1"/>
      <c r="B257" s="2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="2" customFormat="1" ht="14.25" spans="1:16">
      <c r="A258" s="1"/>
      <c r="B258" s="2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="2" customFormat="1" ht="14.25" spans="1:16">
      <c r="A259" s="1"/>
      <c r="B259" s="2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="2" customFormat="1" ht="14.25" spans="1:16">
      <c r="A260" s="1"/>
      <c r="B260" s="2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="2" customFormat="1" ht="14.25" spans="1:16">
      <c r="A261" s="1"/>
      <c r="B261" s="2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="2" customFormat="1" ht="14.25" spans="1:16">
      <c r="A262" s="1"/>
      <c r="B262" s="2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="2" customFormat="1" ht="14.25" spans="1:16">
      <c r="A263" s="1"/>
      <c r="B263" s="2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="2" customFormat="1" ht="14.25" spans="1:16">
      <c r="A264" s="1"/>
      <c r="B264" s="2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="2" customFormat="1" ht="14.25" spans="1:16">
      <c r="A265" s="1"/>
      <c r="B265" s="2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="2" customFormat="1" ht="14.25" spans="1:16">
      <c r="A266" s="1"/>
      <c r="B266" s="2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="2" customFormat="1" ht="14.25" spans="1:16">
      <c r="A267" s="1"/>
      <c r="B267" s="2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="2" customFormat="1" ht="14.25" spans="1:16">
      <c r="A268" s="1"/>
      <c r="B268" s="2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="2" customFormat="1" ht="14.25" spans="1:16">
      <c r="A269" s="1"/>
      <c r="B269" s="2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="2" customFormat="1" ht="14.25" spans="1:16">
      <c r="A270" s="1"/>
      <c r="B270" s="2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="2" customFormat="1" ht="14.25" spans="1:16">
      <c r="A271" s="1"/>
      <c r="B271" s="2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="2" customFormat="1" ht="14.25" spans="1:16">
      <c r="A272" s="1"/>
      <c r="B272" s="2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="2" customFormat="1" ht="14.25" spans="1:16">
      <c r="A273" s="1"/>
      <c r="B273" s="2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="2" customFormat="1" ht="14.25" spans="1:16">
      <c r="A274" s="1"/>
      <c r="B274" s="2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="2" customFormat="1" ht="14.25" spans="1:16">
      <c r="A275" s="1"/>
      <c r="B275" s="2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="2" customFormat="1" ht="14.25" spans="1:16">
      <c r="A276" s="1"/>
      <c r="B276" s="2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="2" customFormat="1" ht="14.25" spans="1:16">
      <c r="A277" s="1"/>
      <c r="B277" s="2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="2" customFormat="1" ht="14.25" spans="1:16">
      <c r="A278" s="1"/>
      <c r="B278" s="2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</sheetData>
  <mergeCells count="18">
    <mergeCell ref="A1:J1"/>
    <mergeCell ref="R1:AA1"/>
    <mergeCell ref="F2:I2"/>
    <mergeCell ref="V2:X2"/>
    <mergeCell ref="F166:I166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2025-12-03T00:57:00Z</dcterms:created>
  <dcterms:modified xsi:type="dcterms:W3CDTF">2026-01-15T01:15:43Z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356AC5B8F13646DEAF63813604954148_11</vt:lpwstr>
  </property>
  <property fmtid="{D5CDD505-2E9C-101B-9397-08002B2CF9AE}" pid="3" name="KSOProductBuildVer">
    <vt:lpwstr>2052-11.1.0.14309</vt:lpwstr>
  </property>
</Properties>
</file>