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<sst xmlns="http://schemas.openxmlformats.org/spreadsheetml/2006/main" count="294" uniqueCount="167">
  <si>
    <t>2025年生产部10月接收处置记录统计表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</si>
  <si>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</si>
  <si>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</si>
  <si>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</si>
  <si>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</si>
  <si>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</si>
  <si>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</si>
  <si>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</si>
  <si>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</si>
  <si>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</si>
  <si>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</si>
  <si>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</si>
  <si>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</si>
  <si>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</si>
  <si>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</si>
  <si>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</si>
  <si>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</si>
  <si>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</si>
  <si>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</si>
  <si>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</si>
  <si>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</si>
  <si>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</si>
  <si>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</si>
  <si>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</si>
  <si>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</si>
  <si>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</si>
  <si>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</si>
  <si>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蒸馏残液</t>
  </si>
  <si>
    <t>271-001-02</t>
  </si>
  <si>
    <t>液态</t>
  </si>
  <si>
    <t>炉渣（回转窑）</t>
  </si>
  <si>
    <t>精馏残渣</t>
  </si>
  <si>
    <t>固态</t>
  </si>
  <si>
    <t>飞灰（回转窑）</t>
  </si>
  <si>
    <t>过滤介质</t>
  </si>
  <si>
    <t>271-003-02</t>
  </si>
  <si>
    <t>飞灰（废液炉）</t>
  </si>
  <si>
    <t>废盐</t>
  </si>
  <si>
    <t>271-005-02</t>
  </si>
  <si>
    <t>废油渣/泥</t>
  </si>
  <si>
    <t>精馏切水后剩下的罐底泥</t>
  </si>
  <si>
    <t>一般废药品</t>
  </si>
  <si>
    <t>900-002-03</t>
  </si>
  <si>
    <t>含油污水</t>
  </si>
  <si>
    <t>蒸汽清洗过程</t>
  </si>
  <si>
    <t>废药物、药品
杀虫剂、磷化铝等</t>
  </si>
  <si>
    <t>900-003-04</t>
  </si>
  <si>
    <t>废商标</t>
  </si>
  <si>
    <t>除商标</t>
  </si>
  <si>
    <t>废有机溶剂及废物</t>
  </si>
  <si>
    <t>900-402-06</t>
  </si>
  <si>
    <t>废残液</t>
  </si>
  <si>
    <t>抽残液</t>
  </si>
  <si>
    <t>清洗剂、渗透剂包装物</t>
  </si>
  <si>
    <t>废渣</t>
  </si>
  <si>
    <t>清洗过程</t>
  </si>
  <si>
    <t>废有机溶剂</t>
  </si>
  <si>
    <t>900-404-06</t>
  </si>
  <si>
    <t>漆渣</t>
  </si>
  <si>
    <t>废有机废液</t>
  </si>
  <si>
    <t>900-405-06</t>
  </si>
  <si>
    <t>污水厂污泥</t>
  </si>
  <si>
    <t>水处理后产生的污泥</t>
  </si>
  <si>
    <t>废活性炭</t>
  </si>
  <si>
    <t>废清洗剂</t>
  </si>
  <si>
    <t>清洗剂清洗过程</t>
  </si>
  <si>
    <t>900-407-06</t>
  </si>
  <si>
    <t>危废污泥</t>
  </si>
  <si>
    <t>900-409-06</t>
  </si>
  <si>
    <t>油污水</t>
  </si>
  <si>
    <t>251-001-08</t>
  </si>
  <si>
    <t>清舱污泥（水）</t>
  </si>
  <si>
    <t>半固态</t>
  </si>
  <si>
    <t>废溶剂油</t>
  </si>
  <si>
    <t>291-001-08</t>
  </si>
  <si>
    <t>研磨泥</t>
  </si>
  <si>
    <t>900-200-08</t>
  </si>
  <si>
    <t>HW08废油</t>
  </si>
  <si>
    <t>废煤油</t>
  </si>
  <si>
    <t>900-201-08</t>
  </si>
  <si>
    <t>废润滑脂</t>
  </si>
  <si>
    <t>900-209-08</t>
  </si>
  <si>
    <t>水处理浮渣及污泥</t>
  </si>
  <si>
    <t>900-210-08</t>
  </si>
  <si>
    <t>废机油、含油废水</t>
  </si>
  <si>
    <t>废油泥</t>
  </si>
  <si>
    <t>废白土</t>
  </si>
  <si>
    <t>900-213-08</t>
  </si>
  <si>
    <t>废矿物油</t>
  </si>
  <si>
    <t>900-214-08</t>
  </si>
  <si>
    <t>900-217-08</t>
  </si>
  <si>
    <t>废液压油</t>
  </si>
  <si>
    <t>900-218-08</t>
  </si>
  <si>
    <t>废冷冻机油</t>
  </si>
  <si>
    <t>900-219-08</t>
  </si>
  <si>
    <t>废矿物油与含矿物油废物</t>
  </si>
  <si>
    <t>900-220-08</t>
  </si>
  <si>
    <t>900-249-08</t>
  </si>
  <si>
    <t>废矿物油、废油桶</t>
  </si>
  <si>
    <t>废矿物油、油泥</t>
  </si>
  <si>
    <t>废水、乳化液</t>
  </si>
  <si>
    <t>900-007-09</t>
  </si>
  <si>
    <t>沉淀渣</t>
  </si>
  <si>
    <t>废乳化液</t>
  </si>
  <si>
    <t>900-006-09</t>
  </si>
  <si>
    <t>砂轮沫</t>
  </si>
  <si>
    <t>废水汽提塔排重质烃</t>
  </si>
  <si>
    <t>252-009-11</t>
  </si>
  <si>
    <t>煤焦油、釜残</t>
  </si>
  <si>
    <t>900-013-11</t>
  </si>
  <si>
    <t>煤焦油</t>
  </si>
  <si>
    <t>釜残</t>
  </si>
  <si>
    <t>451-003-11</t>
  </si>
  <si>
    <t>900-250-12</t>
  </si>
  <si>
    <t>废漆渣</t>
  </si>
  <si>
    <t>900-252-12</t>
  </si>
  <si>
    <t>废油墨</t>
  </si>
  <si>
    <t>900-253-12</t>
  </si>
  <si>
    <t>硒鼓墨盒</t>
  </si>
  <si>
    <t>900-299-12</t>
  </si>
  <si>
    <t>废水处理污泥</t>
  </si>
  <si>
    <t>264-012-12</t>
  </si>
  <si>
    <t>发泡废料，废胶水</t>
  </si>
  <si>
    <t>900-014-13</t>
  </si>
  <si>
    <t>废树脂</t>
  </si>
  <si>
    <t>900-015-13</t>
  </si>
  <si>
    <t>有机树脂废物</t>
  </si>
  <si>
    <t>900-016-13</t>
  </si>
  <si>
    <t>PBL真空废液</t>
  </si>
  <si>
    <t>265-101-13</t>
  </si>
  <si>
    <t>不合格有机树脂</t>
  </si>
  <si>
    <t>污水处理站污泥</t>
  </si>
  <si>
    <t>265-104-13</t>
  </si>
  <si>
    <t>废显影液</t>
  </si>
  <si>
    <t>900-019-16</t>
  </si>
  <si>
    <t>废滤芯、污泥</t>
  </si>
  <si>
    <t>336-055-17</t>
  </si>
  <si>
    <t>磷化污泥</t>
  </si>
  <si>
    <t>336-064-17</t>
  </si>
  <si>
    <t>金属表面处理污泥</t>
  </si>
  <si>
    <t>污泥</t>
  </si>
  <si>
    <t>336-069-17</t>
  </si>
  <si>
    <t>活性炭</t>
  </si>
  <si>
    <t>772-005-18</t>
  </si>
  <si>
    <t>废抗燃油</t>
  </si>
  <si>
    <t>900-033-37</t>
  </si>
  <si>
    <t>含酚废水</t>
  </si>
  <si>
    <t>261-070-39</t>
  </si>
  <si>
    <t>261-084-45</t>
  </si>
  <si>
    <t>含油废物</t>
  </si>
  <si>
    <t>900-041-49</t>
  </si>
  <si>
    <t>废酸碱袋</t>
  </si>
  <si>
    <t>900-042-49</t>
  </si>
  <si>
    <t>772-006-49</t>
  </si>
  <si>
    <t>900-039-49</t>
  </si>
  <si>
    <t>废水污泥</t>
  </si>
  <si>
    <t>900-046-49</t>
  </si>
  <si>
    <t>过期化学药品</t>
  </si>
  <si>
    <t>900-047-49</t>
  </si>
  <si>
    <t>乙腈、异丙酮、废液</t>
  </si>
  <si>
    <t>危险化学品</t>
  </si>
  <si>
    <t>900-999-49</t>
  </si>
  <si>
    <t>过期面膜原料、残液</t>
  </si>
  <si>
    <t>废催化剂</t>
  </si>
  <si>
    <t>261-151-50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</si>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</sst>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4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5"/>
  <sheetViews>
    <sheetView tabSelected="1" topLeftCell="F1" workbookViewId="0">
      <selection activeCell="V15" sqref="V15"/>
    </sheetView>
  </sheetViews>
  <sheetFormatPr defaultColWidth="9" defaultRowHeight="13.5"/>
  <cols>
    <col min="1" max="1" width="17.75" style="1" customWidth="1"/>
    <col min="2" max="2" width="11.875" style="1" customWidth="1"/>
    <col min="3" max="3" width="7.37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0.375" style="1" customWidth="1"/>
    <col min="12" max="12" width="10.5" style="1" customWidth="1"/>
    <col min="13" max="13" width="9.375" style="1"/>
    <col min="14" max="14" width="11.75" style="1" customWidth="1"/>
    <col min="15" max="15" width="7" style="1" customWidth="1"/>
    <col min="16" max="16" width="12.625" style="1"/>
    <col min="17" max="17" width="9" style="1"/>
    <col min="18" max="18" width="14.125" style="1" customWidth="1"/>
    <col min="19" max="26" width="9" style="1"/>
    <col min="27" max="27" width="16.25" style="1" customWidth="1"/>
    <col min="28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5" t="s">
        <v>1</v>
      </c>
      <c r="S1" s="25"/>
      <c r="T1" s="25"/>
      <c r="U1" s="25"/>
      <c r="V1" s="25"/>
      <c r="W1" s="25"/>
      <c r="X1" s="25"/>
      <c r="Y1" s="25"/>
      <c r="Z1" s="25"/>
      <c r="AA1" s="25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/>
      <c r="R2" s="26" t="s">
        <v>2</v>
      </c>
      <c r="S2" s="26" t="s">
        <v>5</v>
      </c>
      <c r="T2" s="26" t="s">
        <v>14</v>
      </c>
      <c r="U2" s="27" t="s">
        <v>15</v>
      </c>
      <c r="V2" s="26" t="s">
        <v>16</v>
      </c>
      <c r="W2" s="26"/>
      <c r="X2" s="26"/>
      <c r="Y2" s="27" t="s">
        <v>17</v>
      </c>
      <c r="Z2" s="32" t="s">
        <v>18</v>
      </c>
      <c r="AA2" s="32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4" t="s">
        <v>9</v>
      </c>
      <c r="L3" s="24" t="s">
        <v>10</v>
      </c>
      <c r="M3" s="24" t="s">
        <v>11</v>
      </c>
      <c r="N3" s="24" t="s">
        <v>12</v>
      </c>
      <c r="O3" s="24" t="s">
        <v>13</v>
      </c>
      <c r="P3" s="24"/>
      <c r="R3" s="26"/>
      <c r="S3" s="26"/>
      <c r="T3" s="26"/>
      <c r="U3" s="28"/>
      <c r="V3" s="26" t="s">
        <v>24</v>
      </c>
      <c r="W3" s="26" t="s">
        <v>25</v>
      </c>
      <c r="X3" s="26" t="s">
        <v>26</v>
      </c>
      <c r="Y3" s="28"/>
      <c r="Z3" s="32"/>
      <c r="AA3" s="32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0</v>
      </c>
      <c r="E4" s="8">
        <f>23.9525+7.382</f>
        <v>31.3345</v>
      </c>
      <c r="F4" s="10"/>
      <c r="G4" s="10"/>
      <c r="H4" s="10"/>
      <c r="I4" s="10"/>
      <c r="J4" s="8">
        <f t="shared" ref="J4:J67" si="0">D4+E4-F4-G4-H4-I4</f>
        <v>31.3345</v>
      </c>
      <c r="K4" s="24">
        <v>31.3345</v>
      </c>
      <c r="L4" s="24"/>
      <c r="M4" s="24"/>
      <c r="N4" s="24"/>
      <c r="O4" s="24"/>
      <c r="P4" s="24">
        <f t="shared" ref="P4:P67" si="1">K4+L4+M4+N4+O4</f>
        <v>31.3345</v>
      </c>
      <c r="R4" s="29" t="s">
        <v>30</v>
      </c>
      <c r="S4" s="26">
        <v>157.58</v>
      </c>
      <c r="T4" s="26">
        <f>121.415-23.425</f>
        <v>97.99</v>
      </c>
      <c r="U4" s="26">
        <f>91-17</f>
        <v>74</v>
      </c>
      <c r="V4" s="26"/>
      <c r="W4" s="26"/>
      <c r="X4" s="26">
        <v>89.8</v>
      </c>
      <c r="Y4" s="26">
        <f t="shared" ref="Y4:Y14" si="2">S4+T4-V4-X4-W4</f>
        <v>165.77</v>
      </c>
      <c r="Z4" s="24"/>
      <c r="AA4" s="24"/>
    </row>
    <row r="5" s="2" customFormat="1" ht="18" customHeight="1" spans="1:27">
      <c r="A5" s="11" t="s">
        <v>31</v>
      </c>
      <c r="B5" s="8" t="s">
        <v>28</v>
      </c>
      <c r="C5" s="8" t="s">
        <v>32</v>
      </c>
      <c r="D5" s="8">
        <v>2.8592</v>
      </c>
      <c r="E5" s="8"/>
      <c r="F5" s="10">
        <f>2.8592</f>
        <v>2.8592</v>
      </c>
      <c r="G5" s="10"/>
      <c r="H5" s="10"/>
      <c r="I5" s="10"/>
      <c r="J5" s="8">
        <f t="shared" si="0"/>
        <v>0</v>
      </c>
      <c r="K5" s="24"/>
      <c r="L5" s="24"/>
      <c r="M5" s="24"/>
      <c r="N5" s="24"/>
      <c r="O5" s="24"/>
      <c r="P5" s="24">
        <f t="shared" si="1"/>
        <v>0</v>
      </c>
      <c r="R5" s="29" t="s">
        <v>33</v>
      </c>
      <c r="S5" s="30">
        <v>11.853</v>
      </c>
      <c r="T5" s="26">
        <v>19.02</v>
      </c>
      <c r="U5" s="26">
        <v>43</v>
      </c>
      <c r="V5" s="26"/>
      <c r="W5" s="26"/>
      <c r="X5" s="26">
        <v>20.49</v>
      </c>
      <c r="Y5" s="26">
        <f t="shared" si="2"/>
        <v>10.383</v>
      </c>
      <c r="Z5" s="24"/>
      <c r="AA5" s="24"/>
    </row>
    <row r="6" s="2" customFormat="1" ht="18" customHeight="1" spans="1:27">
      <c r="A6" s="12" t="s">
        <v>34</v>
      </c>
      <c r="B6" s="8" t="s">
        <v>35</v>
      </c>
      <c r="C6" s="8" t="s">
        <v>32</v>
      </c>
      <c r="D6" s="8">
        <v>2.055</v>
      </c>
      <c r="E6" s="8"/>
      <c r="F6" s="10">
        <f>2.055</f>
        <v>2.055</v>
      </c>
      <c r="G6" s="10"/>
      <c r="H6" s="10"/>
      <c r="I6" s="10"/>
      <c r="J6" s="8">
        <f t="shared" si="0"/>
        <v>0</v>
      </c>
      <c r="K6" s="24"/>
      <c r="L6" s="24"/>
      <c r="M6" s="24"/>
      <c r="N6" s="24"/>
      <c r="O6" s="24"/>
      <c r="P6" s="24">
        <f t="shared" si="1"/>
        <v>0</v>
      </c>
      <c r="R6" s="29" t="s">
        <v>36</v>
      </c>
      <c r="S6" s="30">
        <v>0.48</v>
      </c>
      <c r="T6" s="26">
        <v>3.195</v>
      </c>
      <c r="U6" s="26">
        <v>8</v>
      </c>
      <c r="V6" s="26"/>
      <c r="W6" s="28"/>
      <c r="X6" s="28">
        <v>2.71</v>
      </c>
      <c r="Y6" s="26">
        <f t="shared" si="2"/>
        <v>0.965</v>
      </c>
      <c r="Z6" s="24"/>
      <c r="AA6" s="24"/>
    </row>
    <row r="7" s="2" customFormat="1" ht="18" customHeight="1" spans="1:27">
      <c r="A7" s="9" t="s">
        <v>37</v>
      </c>
      <c r="B7" s="8" t="s">
        <v>38</v>
      </c>
      <c r="C7" s="8" t="s">
        <v>32</v>
      </c>
      <c r="D7" s="8">
        <v>8.64</v>
      </c>
      <c r="E7" s="8"/>
      <c r="F7" s="10">
        <f>8.64</f>
        <v>8.64</v>
      </c>
      <c r="G7" s="10"/>
      <c r="H7" s="10"/>
      <c r="I7" s="10"/>
      <c r="J7" s="8">
        <f t="shared" si="0"/>
        <v>0</v>
      </c>
      <c r="K7" s="24"/>
      <c r="L7" s="24"/>
      <c r="M7" s="24"/>
      <c r="N7" s="24"/>
      <c r="O7" s="24"/>
      <c r="P7" s="24">
        <f t="shared" si="1"/>
        <v>0</v>
      </c>
      <c r="R7" s="29" t="s">
        <v>39</v>
      </c>
      <c r="S7" s="26">
        <v>0</v>
      </c>
      <c r="T7" s="26"/>
      <c r="U7" s="26"/>
      <c r="V7" s="26"/>
      <c r="W7" s="26"/>
      <c r="X7" s="26"/>
      <c r="Y7" s="26">
        <f t="shared" si="2"/>
        <v>0</v>
      </c>
      <c r="Z7" s="24" t="s">
        <v>40</v>
      </c>
      <c r="AA7" s="24"/>
    </row>
    <row r="8" s="2" customFormat="1" ht="18" customHeight="1" spans="1:27">
      <c r="A8" s="12" t="s">
        <v>41</v>
      </c>
      <c r="B8" s="8" t="s">
        <v>42</v>
      </c>
      <c r="C8" s="8" t="s">
        <v>32</v>
      </c>
      <c r="D8" s="8">
        <v>0</v>
      </c>
      <c r="E8" s="8">
        <f>6.66+0.1412</f>
        <v>6.8012</v>
      </c>
      <c r="F8" s="10">
        <f>6.66+0.1412</f>
        <v>6.8012</v>
      </c>
      <c r="G8" s="10"/>
      <c r="H8" s="10"/>
      <c r="I8" s="10"/>
      <c r="J8" s="8">
        <f t="shared" si="0"/>
        <v>0</v>
      </c>
      <c r="K8" s="24"/>
      <c r="L8" s="24"/>
      <c r="M8" s="24"/>
      <c r="N8" s="24"/>
      <c r="O8" s="24"/>
      <c r="P8" s="24">
        <f t="shared" si="1"/>
        <v>0</v>
      </c>
      <c r="R8" s="11" t="s">
        <v>43</v>
      </c>
      <c r="S8" s="31">
        <v>0</v>
      </c>
      <c r="T8" s="32">
        <v>0.52</v>
      </c>
      <c r="U8" s="32"/>
      <c r="V8" s="32">
        <v>0.52</v>
      </c>
      <c r="W8" s="32"/>
      <c r="X8" s="32"/>
      <c r="Y8" s="26">
        <f t="shared" si="2"/>
        <v>0</v>
      </c>
      <c r="Z8" s="24" t="s">
        <v>44</v>
      </c>
      <c r="AA8" s="24" t="s">
        <v>10</v>
      </c>
    </row>
    <row r="9" s="2" customFormat="1" ht="26" customHeight="1" spans="1:27">
      <c r="A9" s="13" t="s">
        <v>45</v>
      </c>
      <c r="B9" s="8" t="s">
        <v>46</v>
      </c>
      <c r="C9" s="8" t="s">
        <v>32</v>
      </c>
      <c r="D9" s="8">
        <v>0</v>
      </c>
      <c r="E9" s="8">
        <f>0.14</f>
        <v>0.14</v>
      </c>
      <c r="F9" s="10"/>
      <c r="G9" s="10"/>
      <c r="H9" s="10"/>
      <c r="I9" s="10"/>
      <c r="J9" s="8">
        <f t="shared" si="0"/>
        <v>0.14</v>
      </c>
      <c r="K9" s="24">
        <v>0.14</v>
      </c>
      <c r="L9" s="24"/>
      <c r="M9" s="24"/>
      <c r="N9" s="24"/>
      <c r="O9" s="24"/>
      <c r="P9" s="24">
        <f t="shared" si="1"/>
        <v>0.14</v>
      </c>
      <c r="R9" s="11" t="s">
        <v>47</v>
      </c>
      <c r="S9" s="8">
        <v>0</v>
      </c>
      <c r="T9" s="32">
        <v>0.26</v>
      </c>
      <c r="U9" s="32"/>
      <c r="V9" s="32">
        <v>0.26</v>
      </c>
      <c r="W9" s="32"/>
      <c r="X9" s="24"/>
      <c r="Y9" s="26">
        <f t="shared" si="2"/>
        <v>0</v>
      </c>
      <c r="Z9" s="24" t="s">
        <v>48</v>
      </c>
      <c r="AA9" s="24" t="s">
        <v>10</v>
      </c>
    </row>
    <row r="10" s="2" customFormat="1" ht="18" customHeight="1" spans="1:27">
      <c r="A10" s="12" t="s">
        <v>49</v>
      </c>
      <c r="B10" s="8" t="s">
        <v>50</v>
      </c>
      <c r="C10" s="8" t="s">
        <v>29</v>
      </c>
      <c r="D10" s="8">
        <v>137.243</v>
      </c>
      <c r="E10" s="8">
        <f>17.562+0.25+4.8875</f>
        <v>22.6995</v>
      </c>
      <c r="F10" s="10"/>
      <c r="G10" s="10">
        <f>22+6</f>
        <v>28</v>
      </c>
      <c r="H10" s="10"/>
      <c r="I10" s="10"/>
      <c r="J10" s="8">
        <f t="shared" si="0"/>
        <v>131.9425</v>
      </c>
      <c r="K10" s="24"/>
      <c r="L10" s="24">
        <v>131.9425</v>
      </c>
      <c r="M10" s="24"/>
      <c r="N10" s="24"/>
      <c r="O10" s="24"/>
      <c r="P10" s="24">
        <f t="shared" si="1"/>
        <v>131.9425</v>
      </c>
      <c r="R10" s="11" t="s">
        <v>51</v>
      </c>
      <c r="S10" s="31">
        <v>0</v>
      </c>
      <c r="T10" s="32">
        <v>0.71</v>
      </c>
      <c r="U10" s="32"/>
      <c r="V10" s="32">
        <v>0.71</v>
      </c>
      <c r="W10" s="32"/>
      <c r="X10" s="24"/>
      <c r="Y10" s="26">
        <f t="shared" si="2"/>
        <v>0</v>
      </c>
      <c r="Z10" s="24" t="s">
        <v>52</v>
      </c>
      <c r="AA10" s="24" t="s">
        <v>10</v>
      </c>
    </row>
    <row r="11" s="2" customFormat="1" ht="18" customHeight="1" spans="1:27">
      <c r="A11" s="9" t="s">
        <v>53</v>
      </c>
      <c r="B11" s="8" t="s">
        <v>50</v>
      </c>
      <c r="C11" s="8" t="s">
        <v>32</v>
      </c>
      <c r="D11" s="8">
        <v>0</v>
      </c>
      <c r="E11" s="8"/>
      <c r="F11" s="10"/>
      <c r="G11" s="10"/>
      <c r="H11" s="10"/>
      <c r="I11" s="10"/>
      <c r="J11" s="8">
        <f t="shared" si="0"/>
        <v>0</v>
      </c>
      <c r="K11" s="24"/>
      <c r="L11" s="24"/>
      <c r="M11" s="24"/>
      <c r="N11" s="24"/>
      <c r="O11" s="24"/>
      <c r="P11" s="24">
        <f t="shared" si="1"/>
        <v>0</v>
      </c>
      <c r="R11" s="11" t="s">
        <v>54</v>
      </c>
      <c r="S11" s="8">
        <v>0</v>
      </c>
      <c r="T11" s="32">
        <v>0.42</v>
      </c>
      <c r="U11" s="32"/>
      <c r="V11" s="32">
        <v>0.42</v>
      </c>
      <c r="W11" s="32"/>
      <c r="X11" s="24"/>
      <c r="Y11" s="26">
        <f t="shared" si="2"/>
        <v>0</v>
      </c>
      <c r="Z11" s="24" t="s">
        <v>55</v>
      </c>
      <c r="AA11" s="24" t="s">
        <v>10</v>
      </c>
    </row>
    <row r="12" s="2" customFormat="1" ht="18" customHeight="1" spans="1:27">
      <c r="A12" s="11" t="s">
        <v>56</v>
      </c>
      <c r="B12" s="14" t="s">
        <v>57</v>
      </c>
      <c r="C12" s="8" t="s">
        <v>29</v>
      </c>
      <c r="D12" s="8">
        <v>122.3985</v>
      </c>
      <c r="E12" s="8">
        <f>26.15+26.85+1.966+26.7+26.6+26.94+26.59+11.04</f>
        <v>172.836</v>
      </c>
      <c r="F12" s="10">
        <f>7.13</f>
        <v>7.13</v>
      </c>
      <c r="G12" s="10">
        <f>16.5+33.48+11.5+34.03+15.056</f>
        <v>110.566</v>
      </c>
      <c r="H12" s="10"/>
      <c r="I12" s="10"/>
      <c r="J12" s="8">
        <f t="shared" si="0"/>
        <v>177.5385</v>
      </c>
      <c r="K12" s="24"/>
      <c r="L12" s="24">
        <v>177.5385</v>
      </c>
      <c r="M12" s="24"/>
      <c r="N12" s="24"/>
      <c r="O12" s="24"/>
      <c r="P12" s="24">
        <f t="shared" si="1"/>
        <v>177.5385</v>
      </c>
      <c r="R12" s="11" t="s">
        <v>58</v>
      </c>
      <c r="S12" s="31">
        <v>0</v>
      </c>
      <c r="T12" s="8"/>
      <c r="U12" s="8"/>
      <c r="V12" s="8"/>
      <c r="W12" s="8"/>
      <c r="X12" s="24"/>
      <c r="Y12" s="26">
        <f t="shared" si="2"/>
        <v>0</v>
      </c>
      <c r="Z12" s="24" t="s">
        <v>55</v>
      </c>
      <c r="AA12" s="24"/>
    </row>
    <row r="13" s="2" customFormat="1" ht="18" customHeight="1" spans="1:27">
      <c r="A13" s="9" t="s">
        <v>59</v>
      </c>
      <c r="B13" s="14" t="s">
        <v>60</v>
      </c>
      <c r="C13" s="8" t="s">
        <v>29</v>
      </c>
      <c r="D13" s="8">
        <v>4.5</v>
      </c>
      <c r="E13" s="8"/>
      <c r="F13" s="10"/>
      <c r="G13" s="10"/>
      <c r="H13" s="10"/>
      <c r="I13" s="10"/>
      <c r="J13" s="8">
        <f t="shared" si="0"/>
        <v>4.5</v>
      </c>
      <c r="K13" s="24"/>
      <c r="L13" s="24">
        <v>4.5</v>
      </c>
      <c r="M13" s="24"/>
      <c r="N13" s="24"/>
      <c r="O13" s="24"/>
      <c r="P13" s="24">
        <f t="shared" si="1"/>
        <v>4.5</v>
      </c>
      <c r="R13" s="24" t="s">
        <v>61</v>
      </c>
      <c r="S13" s="32">
        <v>0</v>
      </c>
      <c r="T13" s="32">
        <v>2.3</v>
      </c>
      <c r="U13" s="32"/>
      <c r="V13" s="32">
        <v>2.3</v>
      </c>
      <c r="W13" s="32"/>
      <c r="X13" s="32"/>
      <c r="Y13" s="26">
        <f t="shared" si="2"/>
        <v>0</v>
      </c>
      <c r="Z13" s="24" t="s">
        <v>62</v>
      </c>
      <c r="AA13" s="24" t="s">
        <v>10</v>
      </c>
    </row>
    <row r="14" s="2" customFormat="1" ht="18" customHeight="1" spans="1:27">
      <c r="A14" s="9" t="s">
        <v>63</v>
      </c>
      <c r="B14" s="14" t="s">
        <v>60</v>
      </c>
      <c r="C14" s="8" t="s">
        <v>32</v>
      </c>
      <c r="D14" s="8">
        <v>0</v>
      </c>
      <c r="E14" s="8">
        <f>0.02375</f>
        <v>0.02375</v>
      </c>
      <c r="F14" s="10"/>
      <c r="G14" s="10"/>
      <c r="H14" s="10"/>
      <c r="I14" s="10"/>
      <c r="J14" s="8">
        <f t="shared" si="0"/>
        <v>0.02375</v>
      </c>
      <c r="K14" s="24"/>
      <c r="L14" s="24">
        <v>0.02375</v>
      </c>
      <c r="M14" s="24"/>
      <c r="N14" s="24"/>
      <c r="O14" s="24"/>
      <c r="P14" s="24">
        <f t="shared" si="1"/>
        <v>0.02375</v>
      </c>
      <c r="R14" s="24" t="s">
        <v>64</v>
      </c>
      <c r="S14" s="32">
        <v>0</v>
      </c>
      <c r="T14" s="32"/>
      <c r="U14" s="32"/>
      <c r="V14" s="32"/>
      <c r="W14" s="32"/>
      <c r="X14" s="32"/>
      <c r="Y14" s="26">
        <f t="shared" si="2"/>
        <v>0</v>
      </c>
      <c r="Z14" s="24" t="s">
        <v>65</v>
      </c>
      <c r="AA14" s="24"/>
    </row>
    <row r="15" s="2" customFormat="1" ht="18" customHeight="1" spans="1:16">
      <c r="A15" s="9" t="s">
        <v>56</v>
      </c>
      <c r="B15" s="14" t="s">
        <v>66</v>
      </c>
      <c r="C15" s="8" t="s">
        <v>29</v>
      </c>
      <c r="D15" s="8">
        <v>150.424</v>
      </c>
      <c r="E15" s="8">
        <f>12.5965</f>
        <v>12.5965</v>
      </c>
      <c r="F15" s="10"/>
      <c r="G15" s="10"/>
      <c r="H15" s="10"/>
      <c r="I15" s="10"/>
      <c r="J15" s="8">
        <f t="shared" si="0"/>
        <v>163.0205</v>
      </c>
      <c r="K15" s="24"/>
      <c r="L15" s="24">
        <v>163.0205</v>
      </c>
      <c r="M15" s="24"/>
      <c r="N15" s="24"/>
      <c r="O15" s="24"/>
      <c r="P15" s="24">
        <f t="shared" si="1"/>
        <v>163.0205</v>
      </c>
    </row>
    <row r="16" s="2" customFormat="1" ht="18" customHeight="1" spans="1:16">
      <c r="A16" s="9" t="s">
        <v>67</v>
      </c>
      <c r="B16" s="14" t="s">
        <v>68</v>
      </c>
      <c r="C16" s="8" t="s">
        <v>32</v>
      </c>
      <c r="D16" s="8">
        <v>83.22</v>
      </c>
      <c r="E16" s="8">
        <f>22.94+23+24.54+24.52+18.18</f>
        <v>113.18</v>
      </c>
      <c r="F16" s="10">
        <f>22.32+24.7+10+11.28+14.92</f>
        <v>83.22</v>
      </c>
      <c r="G16" s="10"/>
      <c r="H16" s="10"/>
      <c r="I16" s="10"/>
      <c r="J16" s="8">
        <f t="shared" si="0"/>
        <v>113.18</v>
      </c>
      <c r="K16" s="24"/>
      <c r="L16" s="24">
        <f>113.18-50</f>
        <v>63.18</v>
      </c>
      <c r="M16" s="24"/>
      <c r="N16" s="24"/>
      <c r="O16" s="24">
        <v>50</v>
      </c>
      <c r="P16" s="24">
        <f t="shared" si="1"/>
        <v>113.18</v>
      </c>
    </row>
    <row r="17" s="2" customFormat="1" ht="18" customHeight="1" spans="1:16">
      <c r="A17" s="9" t="s">
        <v>69</v>
      </c>
      <c r="B17" s="14" t="s">
        <v>70</v>
      </c>
      <c r="C17" s="8" t="s">
        <v>29</v>
      </c>
      <c r="D17" s="8">
        <v>495.63</v>
      </c>
      <c r="E17" s="8">
        <f>1</f>
        <v>1</v>
      </c>
      <c r="F17" s="10">
        <f>1</f>
        <v>1</v>
      </c>
      <c r="G17" s="10">
        <f>11.1+22.12+16.66</f>
        <v>49.88</v>
      </c>
      <c r="H17" s="10"/>
      <c r="I17" s="10"/>
      <c r="J17" s="8">
        <f t="shared" si="0"/>
        <v>445.75</v>
      </c>
      <c r="K17" s="24"/>
      <c r="L17" s="24"/>
      <c r="M17" s="24"/>
      <c r="N17" s="24">
        <f>445.75-40</f>
        <v>405.75</v>
      </c>
      <c r="O17" s="24">
        <v>40</v>
      </c>
      <c r="P17" s="24">
        <f t="shared" si="1"/>
        <v>445.75</v>
      </c>
    </row>
    <row r="18" s="2" customFormat="1" ht="18" customHeight="1" spans="1:16">
      <c r="A18" s="9" t="s">
        <v>71</v>
      </c>
      <c r="B18" s="14" t="s">
        <v>70</v>
      </c>
      <c r="C18" s="8" t="s">
        <v>72</v>
      </c>
      <c r="D18" s="8">
        <v>4.78</v>
      </c>
      <c r="E18" s="8"/>
      <c r="F18" s="10">
        <f>4.78</f>
        <v>4.78</v>
      </c>
      <c r="G18" s="10"/>
      <c r="H18" s="10"/>
      <c r="I18" s="10"/>
      <c r="J18" s="8">
        <f t="shared" si="0"/>
        <v>0</v>
      </c>
      <c r="K18" s="24"/>
      <c r="L18" s="24"/>
      <c r="M18" s="24"/>
      <c r="N18" s="24"/>
      <c r="O18" s="24"/>
      <c r="P18" s="24">
        <f t="shared" si="1"/>
        <v>0</v>
      </c>
    </row>
    <row r="19" s="2" customFormat="1" ht="18" customHeight="1" spans="1:16">
      <c r="A19" s="9" t="s">
        <v>73</v>
      </c>
      <c r="B19" s="14" t="s">
        <v>74</v>
      </c>
      <c r="C19" s="8" t="s">
        <v>72</v>
      </c>
      <c r="D19" s="8">
        <v>51.22</v>
      </c>
      <c r="E19" s="8"/>
      <c r="F19" s="10"/>
      <c r="G19" s="10"/>
      <c r="H19" s="10"/>
      <c r="I19" s="10"/>
      <c r="J19" s="8">
        <f t="shared" si="0"/>
        <v>51.22</v>
      </c>
      <c r="K19" s="24">
        <v>51.22</v>
      </c>
      <c r="L19" s="24"/>
      <c r="M19" s="24"/>
      <c r="N19" s="24"/>
      <c r="O19" s="24"/>
      <c r="P19" s="24">
        <f t="shared" si="1"/>
        <v>51.22</v>
      </c>
    </row>
    <row r="20" s="2" customFormat="1" ht="18" customHeight="1" spans="1:16">
      <c r="A20" s="9" t="s">
        <v>75</v>
      </c>
      <c r="B20" s="8" t="s">
        <v>76</v>
      </c>
      <c r="C20" s="8" t="s">
        <v>32</v>
      </c>
      <c r="D20" s="8">
        <v>16.5285</v>
      </c>
      <c r="E20" s="8">
        <f>14.537</f>
        <v>14.537</v>
      </c>
      <c r="F20" s="10">
        <f>8+8.5285</f>
        <v>16.5285</v>
      </c>
      <c r="G20" s="10"/>
      <c r="H20" s="10"/>
      <c r="I20" s="10"/>
      <c r="J20" s="8">
        <f t="shared" si="0"/>
        <v>14.537</v>
      </c>
      <c r="K20" s="24"/>
      <c r="L20" s="24">
        <v>14.537</v>
      </c>
      <c r="M20" s="24"/>
      <c r="N20" s="24"/>
      <c r="O20" s="24"/>
      <c r="P20" s="24">
        <f t="shared" si="1"/>
        <v>14.537</v>
      </c>
    </row>
    <row r="21" s="2" customFormat="1" ht="18" customHeight="1" spans="1:16">
      <c r="A21" s="12" t="s">
        <v>77</v>
      </c>
      <c r="B21" s="8" t="s">
        <v>76</v>
      </c>
      <c r="C21" s="8" t="s">
        <v>29</v>
      </c>
      <c r="D21" s="8">
        <v>27.643</v>
      </c>
      <c r="E21" s="8">
        <f>3.3</f>
        <v>3.3</v>
      </c>
      <c r="F21" s="10"/>
      <c r="G21" s="10"/>
      <c r="H21" s="10"/>
      <c r="I21" s="10"/>
      <c r="J21" s="8">
        <f t="shared" si="0"/>
        <v>30.943</v>
      </c>
      <c r="K21" s="24">
        <v>15.183</v>
      </c>
      <c r="L21" s="24"/>
      <c r="M21" s="24"/>
      <c r="N21" s="24">
        <v>15.76</v>
      </c>
      <c r="O21" s="24"/>
      <c r="P21" s="24">
        <f t="shared" si="1"/>
        <v>30.943</v>
      </c>
    </row>
    <row r="22" s="2" customFormat="1" ht="18" customHeight="1" spans="1:16">
      <c r="A22" s="9" t="s">
        <v>78</v>
      </c>
      <c r="B22" s="8" t="s">
        <v>79</v>
      </c>
      <c r="C22" s="8" t="s">
        <v>29</v>
      </c>
      <c r="D22" s="8">
        <v>7.24</v>
      </c>
      <c r="E22" s="8"/>
      <c r="F22" s="10"/>
      <c r="G22" s="10"/>
      <c r="H22" s="10"/>
      <c r="I22" s="10"/>
      <c r="J22" s="8">
        <f t="shared" si="0"/>
        <v>7.24</v>
      </c>
      <c r="K22" s="24">
        <v>4.52</v>
      </c>
      <c r="L22" s="24"/>
      <c r="M22" s="24"/>
      <c r="N22" s="24">
        <v>2.72</v>
      </c>
      <c r="O22" s="24"/>
      <c r="P22" s="24">
        <f t="shared" si="1"/>
        <v>7.24</v>
      </c>
    </row>
    <row r="23" s="2" customFormat="1" ht="18" customHeight="1" spans="1:16">
      <c r="A23" s="11" t="s">
        <v>80</v>
      </c>
      <c r="B23" s="8" t="s">
        <v>81</v>
      </c>
      <c r="C23" s="8" t="s">
        <v>72</v>
      </c>
      <c r="D23" s="8">
        <v>0</v>
      </c>
      <c r="E23" s="8">
        <f>0.04</f>
        <v>0.04</v>
      </c>
      <c r="F23" s="10">
        <f>0.04</f>
        <v>0.04</v>
      </c>
      <c r="G23" s="10"/>
      <c r="H23" s="10"/>
      <c r="I23" s="10"/>
      <c r="J23" s="8">
        <f t="shared" si="0"/>
        <v>0</v>
      </c>
      <c r="K23" s="24"/>
      <c r="L23" s="24"/>
      <c r="M23" s="24"/>
      <c r="N23" s="24"/>
      <c r="O23" s="24"/>
      <c r="P23" s="24">
        <f t="shared" si="1"/>
        <v>0</v>
      </c>
    </row>
    <row r="24" s="2" customFormat="1" ht="18" customHeight="1" spans="1:16">
      <c r="A24" s="11" t="s">
        <v>82</v>
      </c>
      <c r="B24" s="8" t="s">
        <v>83</v>
      </c>
      <c r="C24" s="8" t="s">
        <v>72</v>
      </c>
      <c r="D24" s="8">
        <v>105.475</v>
      </c>
      <c r="E24" s="8">
        <f>0.079+4.192</f>
        <v>4.271</v>
      </c>
      <c r="F24" s="10">
        <f>1.93+25.689+7.936+0.079</f>
        <v>35.634</v>
      </c>
      <c r="G24" s="10"/>
      <c r="H24" s="10"/>
      <c r="I24" s="10"/>
      <c r="J24" s="8">
        <f t="shared" si="0"/>
        <v>74.112</v>
      </c>
      <c r="K24" s="24">
        <v>9</v>
      </c>
      <c r="L24" s="24">
        <v>4.192</v>
      </c>
      <c r="M24" s="24"/>
      <c r="N24" s="24">
        <f>60.92-20</f>
        <v>40.92</v>
      </c>
      <c r="O24" s="24">
        <v>20</v>
      </c>
      <c r="P24" s="24">
        <f t="shared" si="1"/>
        <v>74.112</v>
      </c>
    </row>
    <row r="25" s="2" customFormat="1" ht="18" customHeight="1" spans="1:16">
      <c r="A25" s="15" t="s">
        <v>84</v>
      </c>
      <c r="B25" s="8" t="s">
        <v>83</v>
      </c>
      <c r="C25" s="8" t="s">
        <v>29</v>
      </c>
      <c r="D25" s="4">
        <v>57.84</v>
      </c>
      <c r="E25" s="4">
        <f>3.6+7.22</f>
        <v>10.82</v>
      </c>
      <c r="F25" s="10">
        <f>2.3</f>
        <v>2.3</v>
      </c>
      <c r="G25" s="10"/>
      <c r="H25" s="10"/>
      <c r="I25" s="10"/>
      <c r="J25" s="8">
        <f t="shared" si="0"/>
        <v>66.36</v>
      </c>
      <c r="K25" s="24">
        <v>22.52</v>
      </c>
      <c r="L25" s="24">
        <v>38.94</v>
      </c>
      <c r="M25" s="24"/>
      <c r="N25" s="24">
        <v>4.9</v>
      </c>
      <c r="O25" s="24"/>
      <c r="P25" s="24">
        <f t="shared" si="1"/>
        <v>66.36</v>
      </c>
    </row>
    <row r="26" s="2" customFormat="1" ht="18" customHeight="1" spans="1:16">
      <c r="A26" s="11" t="s">
        <v>85</v>
      </c>
      <c r="B26" s="8" t="s">
        <v>83</v>
      </c>
      <c r="C26" s="8" t="s">
        <v>32</v>
      </c>
      <c r="D26" s="4">
        <v>75.1265</v>
      </c>
      <c r="E26" s="4">
        <f>10.332+13.37+5.931</f>
        <v>29.633</v>
      </c>
      <c r="F26" s="10">
        <f>0.06+3.3465</f>
        <v>3.4065</v>
      </c>
      <c r="G26" s="10"/>
      <c r="H26" s="10"/>
      <c r="I26" s="10"/>
      <c r="J26" s="8">
        <f t="shared" si="0"/>
        <v>101.353</v>
      </c>
      <c r="K26" s="24"/>
      <c r="L26" s="24">
        <v>101.353</v>
      </c>
      <c r="M26" s="24"/>
      <c r="N26" s="24"/>
      <c r="O26" s="24"/>
      <c r="P26" s="24">
        <f t="shared" si="1"/>
        <v>101.353</v>
      </c>
    </row>
    <row r="27" s="2" customFormat="1" ht="18" customHeight="1" spans="1:16">
      <c r="A27" s="9" t="s">
        <v>86</v>
      </c>
      <c r="B27" s="8" t="s">
        <v>87</v>
      </c>
      <c r="C27" s="8" t="s">
        <v>32</v>
      </c>
      <c r="D27" s="8">
        <v>0</v>
      </c>
      <c r="E27" s="8">
        <f>14.886+13.162</f>
        <v>28.048</v>
      </c>
      <c r="F27" s="10"/>
      <c r="G27" s="10"/>
      <c r="H27" s="10"/>
      <c r="I27" s="10"/>
      <c r="J27" s="8">
        <f t="shared" si="0"/>
        <v>28.048</v>
      </c>
      <c r="K27" s="24"/>
      <c r="L27" s="24">
        <v>28.048</v>
      </c>
      <c r="M27" s="24"/>
      <c r="N27" s="24"/>
      <c r="O27" s="24"/>
      <c r="P27" s="24">
        <f t="shared" si="1"/>
        <v>28.048</v>
      </c>
    </row>
    <row r="28" s="2" customFormat="1" ht="18" customHeight="1" spans="1:16">
      <c r="A28" s="12" t="s">
        <v>88</v>
      </c>
      <c r="B28" s="14" t="s">
        <v>89</v>
      </c>
      <c r="C28" s="8" t="s">
        <v>29</v>
      </c>
      <c r="D28" s="8">
        <v>43.4797</v>
      </c>
      <c r="E28" s="8">
        <f>24.5401+0.08</f>
        <v>24.6201</v>
      </c>
      <c r="F28" s="10"/>
      <c r="G28" s="10">
        <f>4.86+0.336</f>
        <v>5.196</v>
      </c>
      <c r="H28" s="10"/>
      <c r="I28" s="10"/>
      <c r="J28" s="8">
        <f t="shared" si="0"/>
        <v>62.9038</v>
      </c>
      <c r="K28" s="24">
        <v>24.2</v>
      </c>
      <c r="L28" s="24"/>
      <c r="M28" s="24"/>
      <c r="N28" s="24">
        <v>38.7038</v>
      </c>
      <c r="O28" s="24"/>
      <c r="P28" s="24">
        <f t="shared" si="1"/>
        <v>62.9038</v>
      </c>
    </row>
    <row r="29" s="2" customFormat="1" ht="18" customHeight="1" spans="1:16">
      <c r="A29" s="11" t="s">
        <v>88</v>
      </c>
      <c r="B29" s="16" t="s">
        <v>90</v>
      </c>
      <c r="C29" s="8" t="s">
        <v>29</v>
      </c>
      <c r="D29" s="8">
        <v>87.97255</v>
      </c>
      <c r="E29" s="8">
        <f>0.28+2+1</f>
        <v>3.28</v>
      </c>
      <c r="F29" s="10"/>
      <c r="G29" s="10">
        <f>0.2+0.1787+0.12</f>
        <v>0.4987</v>
      </c>
      <c r="H29" s="10"/>
      <c r="I29" s="10"/>
      <c r="J29" s="8">
        <f t="shared" si="0"/>
        <v>90.75385</v>
      </c>
      <c r="K29" s="24"/>
      <c r="L29" s="24"/>
      <c r="M29" s="24"/>
      <c r="N29" s="24">
        <v>90.75385</v>
      </c>
      <c r="O29" s="24"/>
      <c r="P29" s="24">
        <f t="shared" si="1"/>
        <v>90.75385</v>
      </c>
    </row>
    <row r="30" s="2" customFormat="1" ht="18" customHeight="1" spans="1:16">
      <c r="A30" s="11" t="s">
        <v>91</v>
      </c>
      <c r="B30" s="14" t="s">
        <v>92</v>
      </c>
      <c r="C30" s="8" t="s">
        <v>29</v>
      </c>
      <c r="D30" s="8">
        <v>38.163</v>
      </c>
      <c r="E30" s="8">
        <f>1.6+1.52</f>
        <v>3.12</v>
      </c>
      <c r="F30" s="10"/>
      <c r="G30" s="10"/>
      <c r="H30" s="10"/>
      <c r="I30" s="10"/>
      <c r="J30" s="8">
        <f t="shared" si="0"/>
        <v>41.283</v>
      </c>
      <c r="K30" s="24"/>
      <c r="L30" s="24"/>
      <c r="M30" s="24"/>
      <c r="N30" s="24">
        <v>41.283</v>
      </c>
      <c r="O30" s="24"/>
      <c r="P30" s="24">
        <f t="shared" si="1"/>
        <v>41.283</v>
      </c>
    </row>
    <row r="31" s="2" customFormat="1" ht="18" customHeight="1" spans="1:16">
      <c r="A31" s="11" t="s">
        <v>93</v>
      </c>
      <c r="B31" s="14" t="s">
        <v>94</v>
      </c>
      <c r="C31" s="8" t="s">
        <v>29</v>
      </c>
      <c r="D31" s="8">
        <v>13.88</v>
      </c>
      <c r="E31" s="8">
        <f>0.4</f>
        <v>0.4</v>
      </c>
      <c r="F31" s="10"/>
      <c r="G31" s="10"/>
      <c r="H31" s="10"/>
      <c r="I31" s="10"/>
      <c r="J31" s="8">
        <f t="shared" si="0"/>
        <v>14.28</v>
      </c>
      <c r="K31" s="24"/>
      <c r="L31" s="24"/>
      <c r="M31" s="24"/>
      <c r="N31" s="24">
        <v>14.28</v>
      </c>
      <c r="O31" s="24"/>
      <c r="P31" s="24">
        <f t="shared" si="1"/>
        <v>14.28</v>
      </c>
    </row>
    <row r="32" s="2" customFormat="1" ht="18" customHeight="1" spans="1:16">
      <c r="A32" s="17" t="s">
        <v>95</v>
      </c>
      <c r="B32" s="14" t="s">
        <v>96</v>
      </c>
      <c r="C32" s="8" t="s">
        <v>29</v>
      </c>
      <c r="D32" s="8">
        <v>2.6</v>
      </c>
      <c r="E32" s="8"/>
      <c r="F32" s="10"/>
      <c r="G32" s="10"/>
      <c r="H32" s="10"/>
      <c r="I32" s="10"/>
      <c r="J32" s="8">
        <f t="shared" si="0"/>
        <v>2.6</v>
      </c>
      <c r="K32" s="24"/>
      <c r="L32" s="24"/>
      <c r="M32" s="24"/>
      <c r="N32" s="24">
        <v>2.6</v>
      </c>
      <c r="O32" s="24"/>
      <c r="P32" s="24">
        <f t="shared" si="1"/>
        <v>2.6</v>
      </c>
    </row>
    <row r="33" s="2" customFormat="1" ht="18" customHeight="1" spans="1:16">
      <c r="A33" s="11" t="s">
        <v>88</v>
      </c>
      <c r="B33" s="14" t="s">
        <v>97</v>
      </c>
      <c r="C33" s="8" t="s">
        <v>29</v>
      </c>
      <c r="D33" s="8">
        <v>166.92982</v>
      </c>
      <c r="E33" s="8">
        <f>0.275+3.72+0.1+28.36+0.05</f>
        <v>32.505</v>
      </c>
      <c r="F33" s="10"/>
      <c r="G33" s="10">
        <f>10.82+21.78+10.715+0.317</f>
        <v>43.632</v>
      </c>
      <c r="H33" s="10"/>
      <c r="I33" s="10"/>
      <c r="J33" s="8">
        <f t="shared" si="0"/>
        <v>155.80282</v>
      </c>
      <c r="K33" s="24">
        <v>3.64</v>
      </c>
      <c r="L33" s="24">
        <v>40.48</v>
      </c>
      <c r="M33" s="24"/>
      <c r="N33" s="24">
        <v>111.68282</v>
      </c>
      <c r="O33" s="24"/>
      <c r="P33" s="24">
        <f t="shared" si="1"/>
        <v>155.80282</v>
      </c>
    </row>
    <row r="34" s="2" customFormat="1" ht="18" customHeight="1" spans="1:16">
      <c r="A34" s="11" t="s">
        <v>98</v>
      </c>
      <c r="B34" s="14" t="s">
        <v>97</v>
      </c>
      <c r="C34" s="8" t="s">
        <v>32</v>
      </c>
      <c r="D34" s="8">
        <v>24.39</v>
      </c>
      <c r="E34" s="8">
        <f>0.02+3.68+1+0.18+0.038+0.1+0.6+1.64</f>
        <v>7.258</v>
      </c>
      <c r="F34" s="10">
        <f>3.23+7.84+13.32+0.02+0.18+0.038</f>
        <v>24.628</v>
      </c>
      <c r="G34" s="10"/>
      <c r="H34" s="10">
        <v>3.68</v>
      </c>
      <c r="I34" s="10"/>
      <c r="J34" s="8">
        <f t="shared" si="0"/>
        <v>3.34</v>
      </c>
      <c r="K34" s="24">
        <v>3.34</v>
      </c>
      <c r="L34" s="24"/>
      <c r="M34" s="24"/>
      <c r="N34" s="24"/>
      <c r="O34" s="24"/>
      <c r="P34" s="24">
        <f t="shared" si="1"/>
        <v>3.34</v>
      </c>
    </row>
    <row r="35" s="2" customFormat="1" ht="18" customHeight="1" spans="1:16">
      <c r="A35" s="11" t="s">
        <v>99</v>
      </c>
      <c r="B35" s="14" t="s">
        <v>97</v>
      </c>
      <c r="C35" s="8" t="s">
        <v>72</v>
      </c>
      <c r="D35" s="8">
        <v>0.550000000000001</v>
      </c>
      <c r="E35" s="8">
        <f>5.08</f>
        <v>5.08</v>
      </c>
      <c r="F35" s="10">
        <f>0.55+5.08</f>
        <v>5.63</v>
      </c>
      <c r="G35" s="10"/>
      <c r="H35" s="10"/>
      <c r="I35" s="10"/>
      <c r="J35" s="8">
        <f t="shared" si="0"/>
        <v>0</v>
      </c>
      <c r="K35" s="24"/>
      <c r="L35" s="24"/>
      <c r="M35" s="24"/>
      <c r="N35" s="24"/>
      <c r="O35" s="24"/>
      <c r="P35" s="24">
        <f t="shared" si="1"/>
        <v>0</v>
      </c>
    </row>
    <row r="36" s="2" customFormat="1" ht="18" customHeight="1" spans="1:16">
      <c r="A36" s="18" t="s">
        <v>100</v>
      </c>
      <c r="B36" s="8" t="s">
        <v>101</v>
      </c>
      <c r="C36" s="8" t="s">
        <v>29</v>
      </c>
      <c r="D36" s="8">
        <v>36.4155</v>
      </c>
      <c r="E36" s="8">
        <f>5.736+2.004+0.897+0.313</f>
        <v>8.95</v>
      </c>
      <c r="F36" s="10"/>
      <c r="G36" s="10">
        <f>16.797</f>
        <v>16.797</v>
      </c>
      <c r="H36" s="10"/>
      <c r="I36" s="10"/>
      <c r="J36" s="8">
        <f t="shared" si="0"/>
        <v>28.5685</v>
      </c>
      <c r="K36" s="24"/>
      <c r="L36" s="24">
        <v>28.5685</v>
      </c>
      <c r="M36" s="24"/>
      <c r="N36" s="24"/>
      <c r="O36" s="24"/>
      <c r="P36" s="24">
        <f t="shared" si="1"/>
        <v>28.5685</v>
      </c>
    </row>
    <row r="37" s="2" customFormat="1" ht="18" customHeight="1" spans="1:16">
      <c r="A37" s="11" t="s">
        <v>102</v>
      </c>
      <c r="B37" s="8" t="s">
        <v>101</v>
      </c>
      <c r="C37" s="8" t="s">
        <v>72</v>
      </c>
      <c r="D37" s="8">
        <v>10.8</v>
      </c>
      <c r="E37" s="8"/>
      <c r="F37" s="10"/>
      <c r="G37" s="10"/>
      <c r="H37" s="10"/>
      <c r="I37" s="10"/>
      <c r="J37" s="8">
        <f t="shared" si="0"/>
        <v>10.8</v>
      </c>
      <c r="K37" s="24"/>
      <c r="L37" s="24">
        <v>10.8</v>
      </c>
      <c r="M37" s="24"/>
      <c r="N37" s="24"/>
      <c r="O37" s="24"/>
      <c r="P37" s="24">
        <f t="shared" si="1"/>
        <v>10.8</v>
      </c>
    </row>
    <row r="38" s="2" customFormat="1" ht="18" customHeight="1" spans="1:16">
      <c r="A38" s="11" t="s">
        <v>103</v>
      </c>
      <c r="B38" s="19" t="s">
        <v>104</v>
      </c>
      <c r="C38" s="8" t="s">
        <v>29</v>
      </c>
      <c r="D38" s="8">
        <v>94.753</v>
      </c>
      <c r="E38" s="8">
        <f>5.3975+20.8+5.08+0.6+6.05</f>
        <v>37.9275</v>
      </c>
      <c r="F38" s="10"/>
      <c r="G38" s="10">
        <f>9.22+9.2975</f>
        <v>18.5175</v>
      </c>
      <c r="H38" s="10"/>
      <c r="I38" s="10"/>
      <c r="J38" s="8">
        <f t="shared" si="0"/>
        <v>114.163</v>
      </c>
      <c r="K38" s="24"/>
      <c r="L38" s="24">
        <v>114.163</v>
      </c>
      <c r="M38" s="24"/>
      <c r="N38" s="24"/>
      <c r="O38" s="24"/>
      <c r="P38" s="24">
        <f t="shared" si="1"/>
        <v>114.163</v>
      </c>
    </row>
    <row r="39" s="2" customFormat="1" ht="18" customHeight="1" spans="1:16">
      <c r="A39" s="11" t="s">
        <v>105</v>
      </c>
      <c r="B39" s="8" t="s">
        <v>104</v>
      </c>
      <c r="C39" s="8" t="s">
        <v>32</v>
      </c>
      <c r="D39" s="8">
        <v>3.4</v>
      </c>
      <c r="E39" s="8"/>
      <c r="F39" s="10">
        <f>3.4</f>
        <v>3.4</v>
      </c>
      <c r="G39" s="10"/>
      <c r="H39" s="10"/>
      <c r="I39" s="10"/>
      <c r="J39" s="8">
        <f t="shared" si="0"/>
        <v>0</v>
      </c>
      <c r="K39" s="24"/>
      <c r="L39" s="24"/>
      <c r="M39" s="24"/>
      <c r="N39" s="24"/>
      <c r="O39" s="24"/>
      <c r="P39" s="24">
        <f t="shared" si="1"/>
        <v>0</v>
      </c>
    </row>
    <row r="40" s="2" customFormat="1" ht="18" customHeight="1" spans="1:16">
      <c r="A40" s="9" t="s">
        <v>106</v>
      </c>
      <c r="B40" s="8" t="s">
        <v>107</v>
      </c>
      <c r="C40" s="8" t="s">
        <v>29</v>
      </c>
      <c r="D40" s="8">
        <v>53.64</v>
      </c>
      <c r="E40" s="8"/>
      <c r="F40" s="10"/>
      <c r="G40" s="10"/>
      <c r="H40" s="10"/>
      <c r="I40" s="10"/>
      <c r="J40" s="8">
        <f t="shared" si="0"/>
        <v>53.64</v>
      </c>
      <c r="K40" s="24"/>
      <c r="L40" s="24">
        <v>53.64</v>
      </c>
      <c r="M40" s="24"/>
      <c r="N40" s="24"/>
      <c r="O40" s="24"/>
      <c r="P40" s="24">
        <f t="shared" si="1"/>
        <v>53.64</v>
      </c>
    </row>
    <row r="41" s="2" customFormat="1" ht="18" customHeight="1" spans="1:16">
      <c r="A41" s="11" t="s">
        <v>108</v>
      </c>
      <c r="B41" s="14" t="s">
        <v>109</v>
      </c>
      <c r="C41" s="8" t="s">
        <v>32</v>
      </c>
      <c r="D41" s="8">
        <v>6.85</v>
      </c>
      <c r="E41" s="8">
        <f>5.6685+7.426</f>
        <v>13.0945</v>
      </c>
      <c r="F41" s="10"/>
      <c r="G41" s="10"/>
      <c r="H41" s="10"/>
      <c r="I41" s="10"/>
      <c r="J41" s="8">
        <f t="shared" si="0"/>
        <v>19.9445</v>
      </c>
      <c r="K41" s="24">
        <v>4.56</v>
      </c>
      <c r="L41" s="24">
        <v>15.3845</v>
      </c>
      <c r="M41" s="24"/>
      <c r="N41" s="24"/>
      <c r="O41" s="24"/>
      <c r="P41" s="24">
        <f t="shared" si="1"/>
        <v>19.9445</v>
      </c>
    </row>
    <row r="42" s="2" customFormat="1" ht="18" customHeight="1" spans="1:16">
      <c r="A42" s="11" t="s">
        <v>110</v>
      </c>
      <c r="B42" s="14" t="s">
        <v>109</v>
      </c>
      <c r="C42" s="8" t="s">
        <v>29</v>
      </c>
      <c r="D42" s="8">
        <v>50.6335</v>
      </c>
      <c r="E42" s="8"/>
      <c r="F42" s="10">
        <f>3.7225+2.907</f>
        <v>6.6295</v>
      </c>
      <c r="G42" s="10"/>
      <c r="H42" s="10"/>
      <c r="I42" s="10"/>
      <c r="J42" s="8">
        <f t="shared" si="0"/>
        <v>44.004</v>
      </c>
      <c r="K42" s="24">
        <v>21.604</v>
      </c>
      <c r="L42" s="24">
        <v>22.4</v>
      </c>
      <c r="M42" s="24"/>
      <c r="N42" s="24"/>
      <c r="O42" s="24"/>
      <c r="P42" s="24">
        <f t="shared" si="1"/>
        <v>44.004</v>
      </c>
    </row>
    <row r="43" s="2" customFormat="1" ht="18" customHeight="1" spans="1:16">
      <c r="A43" s="11" t="s">
        <v>111</v>
      </c>
      <c r="B43" s="14" t="s">
        <v>109</v>
      </c>
      <c r="C43" s="8" t="s">
        <v>72</v>
      </c>
      <c r="D43" s="8">
        <v>504.981</v>
      </c>
      <c r="E43" s="8">
        <f>57.78+30.78+33.38+23.358+31.6455</f>
        <v>176.9435</v>
      </c>
      <c r="F43" s="10">
        <f>8.78+7+3+3+9+11.58+6+3+6</f>
        <v>57.36</v>
      </c>
      <c r="G43" s="10"/>
      <c r="H43" s="10"/>
      <c r="I43" s="10"/>
      <c r="J43" s="8">
        <f t="shared" si="0"/>
        <v>624.5645</v>
      </c>
      <c r="K43" s="24">
        <f>598.88-30</f>
        <v>568.88</v>
      </c>
      <c r="L43" s="24">
        <v>25.6845</v>
      </c>
      <c r="M43" s="24"/>
      <c r="N43" s="24"/>
      <c r="O43" s="24">
        <v>30</v>
      </c>
      <c r="P43" s="24">
        <f t="shared" si="1"/>
        <v>624.5645</v>
      </c>
    </row>
    <row r="44" s="2" customFormat="1" ht="18" customHeight="1" spans="1:16">
      <c r="A44" s="12" t="s">
        <v>110</v>
      </c>
      <c r="B44" s="14" t="s">
        <v>112</v>
      </c>
      <c r="C44" s="8" t="s">
        <v>29</v>
      </c>
      <c r="D44" s="8">
        <v>873.98</v>
      </c>
      <c r="E44" s="8">
        <f>48.26+49.7+47.32+51.2+50.46</f>
        <v>246.94</v>
      </c>
      <c r="F44" s="10"/>
      <c r="G44" s="10"/>
      <c r="H44" s="10"/>
      <c r="I44" s="10"/>
      <c r="J44" s="8">
        <f t="shared" si="0"/>
        <v>1120.92</v>
      </c>
      <c r="K44" s="24"/>
      <c r="L44" s="24">
        <v>99.1</v>
      </c>
      <c r="M44" s="24"/>
      <c r="N44" s="24">
        <v>1021.82</v>
      </c>
      <c r="O44" s="24"/>
      <c r="P44" s="24">
        <f t="shared" si="1"/>
        <v>1120.92</v>
      </c>
    </row>
    <row r="45" s="2" customFormat="1" ht="18" customHeight="1" spans="1:16">
      <c r="A45" s="11" t="s">
        <v>58</v>
      </c>
      <c r="B45" s="14" t="s">
        <v>113</v>
      </c>
      <c r="C45" s="8" t="s">
        <v>32</v>
      </c>
      <c r="D45" s="8">
        <v>14.1755</v>
      </c>
      <c r="E45" s="8">
        <f>26.428+11.77</f>
        <v>38.198</v>
      </c>
      <c r="F45" s="10">
        <f>14.1755+26.428</f>
        <v>40.6035</v>
      </c>
      <c r="G45" s="10"/>
      <c r="H45" s="10"/>
      <c r="I45" s="10"/>
      <c r="J45" s="8">
        <f t="shared" si="0"/>
        <v>11.77</v>
      </c>
      <c r="K45" s="24">
        <v>11.77</v>
      </c>
      <c r="L45" s="24"/>
      <c r="M45" s="24"/>
      <c r="N45" s="24"/>
      <c r="O45" s="24"/>
      <c r="P45" s="24">
        <f t="shared" si="1"/>
        <v>11.77</v>
      </c>
    </row>
    <row r="46" s="2" customFormat="1" ht="18" customHeight="1" spans="1:16">
      <c r="A46" s="11" t="s">
        <v>58</v>
      </c>
      <c r="B46" s="14" t="s">
        <v>113</v>
      </c>
      <c r="C46" s="8" t="s">
        <v>72</v>
      </c>
      <c r="D46" s="8">
        <v>0.408</v>
      </c>
      <c r="E46" s="8">
        <f>0.746</f>
        <v>0.746</v>
      </c>
      <c r="F46" s="10">
        <f>0.408+0.746</f>
        <v>1.154</v>
      </c>
      <c r="G46" s="10"/>
      <c r="H46" s="10"/>
      <c r="I46" s="10"/>
      <c r="J46" s="8">
        <f t="shared" si="0"/>
        <v>0</v>
      </c>
      <c r="K46" s="24"/>
      <c r="L46" s="24"/>
      <c r="M46" s="24"/>
      <c r="N46" s="24"/>
      <c r="O46" s="24"/>
      <c r="P46" s="24">
        <f t="shared" si="1"/>
        <v>0</v>
      </c>
    </row>
    <row r="47" s="2" customFormat="1" ht="18" customHeight="1" spans="1:16">
      <c r="A47" s="20" t="s">
        <v>114</v>
      </c>
      <c r="B47" s="14" t="s">
        <v>115</v>
      </c>
      <c r="C47" s="8" t="s">
        <v>32</v>
      </c>
      <c r="D47" s="8">
        <v>241.7605</v>
      </c>
      <c r="E47" s="8">
        <f>58.543+10.665+17.9685+2.58+2.86+19.08765+17.02+13.72+3.0325+11.47</f>
        <v>156.94665</v>
      </c>
      <c r="F47" s="8">
        <f>38.611+40.78+14.2565+25.273+56.5615+45.195+4.94+0.00765</f>
        <v>225.62465</v>
      </c>
      <c r="G47" s="8"/>
      <c r="H47" s="8"/>
      <c r="I47" s="8"/>
      <c r="J47" s="8">
        <f t="shared" si="0"/>
        <v>173.0825</v>
      </c>
      <c r="K47" s="24">
        <f>173.0825-130</f>
        <v>43.0825</v>
      </c>
      <c r="L47" s="24"/>
      <c r="M47" s="24"/>
      <c r="N47" s="24"/>
      <c r="O47" s="24">
        <v>130</v>
      </c>
      <c r="P47" s="24">
        <f t="shared" si="1"/>
        <v>173.0825</v>
      </c>
    </row>
    <row r="48" s="2" customFormat="1" ht="18" customHeight="1" spans="1:16">
      <c r="A48" s="20" t="s">
        <v>58</v>
      </c>
      <c r="B48" s="14" t="s">
        <v>115</v>
      </c>
      <c r="C48" s="8" t="s">
        <v>72</v>
      </c>
      <c r="D48" s="8">
        <v>0</v>
      </c>
      <c r="E48" s="8">
        <f>0.22</f>
        <v>0.22</v>
      </c>
      <c r="F48" s="8">
        <f>0.22</f>
        <v>0.22</v>
      </c>
      <c r="G48" s="8"/>
      <c r="H48" s="8"/>
      <c r="I48" s="8"/>
      <c r="J48" s="8">
        <f t="shared" si="0"/>
        <v>0</v>
      </c>
      <c r="K48" s="24"/>
      <c r="L48" s="24"/>
      <c r="M48" s="24"/>
      <c r="N48" s="24"/>
      <c r="O48" s="24"/>
      <c r="P48" s="24">
        <f t="shared" si="1"/>
        <v>0</v>
      </c>
    </row>
    <row r="49" s="2" customFormat="1" ht="18" customHeight="1" spans="1:16">
      <c r="A49" s="20" t="s">
        <v>116</v>
      </c>
      <c r="B49" s="14" t="s">
        <v>117</v>
      </c>
      <c r="C49" s="8" t="s">
        <v>29</v>
      </c>
      <c r="D49" s="8">
        <v>0</v>
      </c>
      <c r="E49" s="8">
        <f>3</f>
        <v>3</v>
      </c>
      <c r="F49" s="8"/>
      <c r="G49" s="8"/>
      <c r="H49" s="8"/>
      <c r="I49" s="8"/>
      <c r="J49" s="8">
        <f t="shared" si="0"/>
        <v>3</v>
      </c>
      <c r="K49" s="24">
        <v>3</v>
      </c>
      <c r="L49" s="24"/>
      <c r="M49" s="24"/>
      <c r="N49" s="24"/>
      <c r="O49" s="24"/>
      <c r="P49" s="24">
        <f t="shared" si="1"/>
        <v>3</v>
      </c>
    </row>
    <row r="50" s="2" customFormat="1" ht="18" customHeight="1" spans="1:16">
      <c r="A50" s="21" t="s">
        <v>118</v>
      </c>
      <c r="B50" s="8" t="s">
        <v>119</v>
      </c>
      <c r="C50" s="8" t="s">
        <v>32</v>
      </c>
      <c r="D50" s="14">
        <v>0.18</v>
      </c>
      <c r="E50" s="22">
        <f>0.05</f>
        <v>0.05</v>
      </c>
      <c r="F50" s="10">
        <f>0.18</f>
        <v>0.18</v>
      </c>
      <c r="G50" s="10"/>
      <c r="H50" s="10"/>
      <c r="I50" s="10"/>
      <c r="J50" s="8">
        <f t="shared" si="0"/>
        <v>0.05</v>
      </c>
      <c r="K50" s="24">
        <v>0.05</v>
      </c>
      <c r="L50" s="24"/>
      <c r="M50" s="24"/>
      <c r="N50" s="24"/>
      <c r="O50" s="24"/>
      <c r="P50" s="24">
        <f t="shared" si="1"/>
        <v>0.05</v>
      </c>
    </row>
    <row r="51" s="2" customFormat="1" ht="18" customHeight="1" spans="1:16">
      <c r="A51" s="9" t="s">
        <v>120</v>
      </c>
      <c r="B51" s="8" t="s">
        <v>121</v>
      </c>
      <c r="C51" s="8" t="s">
        <v>72</v>
      </c>
      <c r="D51" s="8">
        <v>0</v>
      </c>
      <c r="E51" s="8">
        <f>0.2</f>
        <v>0.2</v>
      </c>
      <c r="F51" s="8"/>
      <c r="G51" s="10"/>
      <c r="H51" s="10"/>
      <c r="I51" s="10"/>
      <c r="J51" s="8">
        <f t="shared" si="0"/>
        <v>0.2</v>
      </c>
      <c r="K51" s="24"/>
      <c r="L51" s="24">
        <v>0.2</v>
      </c>
      <c r="M51" s="24"/>
      <c r="N51" s="24"/>
      <c r="O51" s="24"/>
      <c r="P51" s="24">
        <f t="shared" si="1"/>
        <v>0.2</v>
      </c>
    </row>
    <row r="52" s="2" customFormat="1" ht="18" customHeight="1" spans="1:16">
      <c r="A52" s="15" t="s">
        <v>122</v>
      </c>
      <c r="B52" s="8" t="s">
        <v>123</v>
      </c>
      <c r="C52" s="8" t="s">
        <v>72</v>
      </c>
      <c r="D52" s="8">
        <v>0.4</v>
      </c>
      <c r="E52" s="8">
        <f>8.814+0.184</f>
        <v>8.998</v>
      </c>
      <c r="F52" s="10">
        <f>0.4+8.814</f>
        <v>9.214</v>
      </c>
      <c r="G52" s="23"/>
      <c r="H52" s="23"/>
      <c r="I52" s="23"/>
      <c r="J52" s="8">
        <f t="shared" si="0"/>
        <v>0.183999999999999</v>
      </c>
      <c r="K52" s="24">
        <v>0.184</v>
      </c>
      <c r="L52" s="24"/>
      <c r="M52" s="24"/>
      <c r="N52" s="24"/>
      <c r="O52" s="24"/>
      <c r="P52" s="24">
        <f t="shared" si="1"/>
        <v>0.184</v>
      </c>
    </row>
    <row r="53" s="2" customFormat="1" ht="18" customHeight="1" spans="1:16">
      <c r="A53" s="15" t="s">
        <v>122</v>
      </c>
      <c r="B53" s="8" t="s">
        <v>123</v>
      </c>
      <c r="C53" s="8" t="s">
        <v>32</v>
      </c>
      <c r="D53" s="8">
        <v>22.24</v>
      </c>
      <c r="E53" s="8">
        <f>6.5+9.51+13.22+2.8+9.96+15.45</f>
        <v>57.44</v>
      </c>
      <c r="F53" s="10">
        <f>10.64+15+9.51+13.22+2.8</f>
        <v>51.17</v>
      </c>
      <c r="G53" s="10"/>
      <c r="H53" s="10"/>
      <c r="I53" s="10"/>
      <c r="J53" s="8">
        <f t="shared" si="0"/>
        <v>28.51</v>
      </c>
      <c r="K53" s="24">
        <v>28.51</v>
      </c>
      <c r="L53" s="24"/>
      <c r="M53" s="24"/>
      <c r="N53" s="24"/>
      <c r="O53" s="24"/>
      <c r="P53" s="24">
        <f t="shared" si="1"/>
        <v>28.51</v>
      </c>
    </row>
    <row r="54" s="2" customFormat="1" ht="18" customHeight="1" spans="1:16">
      <c r="A54" s="11" t="s">
        <v>124</v>
      </c>
      <c r="B54" s="4" t="s">
        <v>125</v>
      </c>
      <c r="C54" s="8" t="s">
        <v>32</v>
      </c>
      <c r="D54" s="8">
        <v>0</v>
      </c>
      <c r="E54" s="8">
        <f>6.6278+0.1+4.43</f>
        <v>11.1578</v>
      </c>
      <c r="F54" s="10">
        <f>6.6278</f>
        <v>6.6278</v>
      </c>
      <c r="G54" s="10"/>
      <c r="H54" s="10"/>
      <c r="I54" s="10"/>
      <c r="J54" s="8">
        <f t="shared" si="0"/>
        <v>4.53</v>
      </c>
      <c r="K54" s="24">
        <v>4.53</v>
      </c>
      <c r="L54" s="24"/>
      <c r="M54" s="24"/>
      <c r="N54" s="24"/>
      <c r="O54" s="24"/>
      <c r="P54" s="24">
        <f t="shared" si="1"/>
        <v>4.53</v>
      </c>
    </row>
    <row r="55" s="2" customFormat="1" ht="18" customHeight="1" spans="1:16">
      <c r="A55" s="11" t="s">
        <v>126</v>
      </c>
      <c r="B55" s="4" t="s">
        <v>127</v>
      </c>
      <c r="C55" s="8" t="s">
        <v>72</v>
      </c>
      <c r="D55" s="8">
        <v>4.296</v>
      </c>
      <c r="E55" s="8">
        <f>3.753</f>
        <v>3.753</v>
      </c>
      <c r="F55" s="10">
        <f>3.753</f>
        <v>3.753</v>
      </c>
      <c r="G55" s="10"/>
      <c r="H55" s="10"/>
      <c r="I55" s="10"/>
      <c r="J55" s="8">
        <f t="shared" si="0"/>
        <v>4.296</v>
      </c>
      <c r="K55" s="24">
        <v>4.296</v>
      </c>
      <c r="L55" s="24"/>
      <c r="M55" s="24"/>
      <c r="N55" s="24"/>
      <c r="O55" s="24"/>
      <c r="P55" s="24">
        <f t="shared" si="1"/>
        <v>4.296</v>
      </c>
    </row>
    <row r="56" s="2" customFormat="1" ht="18" customHeight="1" spans="1:16">
      <c r="A56" s="9" t="s">
        <v>128</v>
      </c>
      <c r="B56" s="4" t="s">
        <v>129</v>
      </c>
      <c r="C56" s="8" t="s">
        <v>29</v>
      </c>
      <c r="D56" s="8">
        <v>17.52</v>
      </c>
      <c r="E56" s="8"/>
      <c r="F56" s="10"/>
      <c r="G56" s="10"/>
      <c r="H56" s="10"/>
      <c r="I56" s="10"/>
      <c r="J56" s="8">
        <f t="shared" si="0"/>
        <v>17.52</v>
      </c>
      <c r="K56" s="24">
        <v>17.52</v>
      </c>
      <c r="L56" s="24"/>
      <c r="M56" s="24"/>
      <c r="N56" s="24"/>
      <c r="O56" s="24"/>
      <c r="P56" s="24">
        <f t="shared" si="1"/>
        <v>17.52</v>
      </c>
    </row>
    <row r="57" s="2" customFormat="1" ht="18" customHeight="1" spans="1:16">
      <c r="A57" s="11" t="s">
        <v>130</v>
      </c>
      <c r="B57" s="4" t="s">
        <v>129</v>
      </c>
      <c r="C57" s="8" t="s">
        <v>72</v>
      </c>
      <c r="D57" s="8">
        <v>0</v>
      </c>
      <c r="E57" s="8">
        <f>1.1</f>
        <v>1.1</v>
      </c>
      <c r="F57" s="10">
        <f>1.1</f>
        <v>1.1</v>
      </c>
      <c r="G57" s="10"/>
      <c r="H57" s="10"/>
      <c r="I57" s="10"/>
      <c r="J57" s="8">
        <f t="shared" si="0"/>
        <v>0</v>
      </c>
      <c r="K57" s="24"/>
      <c r="L57" s="24"/>
      <c r="M57" s="24"/>
      <c r="N57" s="24"/>
      <c r="O57" s="24"/>
      <c r="P57" s="24">
        <f t="shared" si="1"/>
        <v>0</v>
      </c>
    </row>
    <row r="58" s="2" customFormat="1" ht="18" customHeight="1" spans="1:16">
      <c r="A58" s="9" t="s">
        <v>131</v>
      </c>
      <c r="B58" s="4" t="s">
        <v>132</v>
      </c>
      <c r="C58" s="8" t="s">
        <v>32</v>
      </c>
      <c r="D58" s="8">
        <v>0</v>
      </c>
      <c r="E58" s="8">
        <f>1</f>
        <v>1</v>
      </c>
      <c r="F58" s="8">
        <f>1</f>
        <v>1</v>
      </c>
      <c r="G58" s="8"/>
      <c r="H58" s="8"/>
      <c r="I58" s="8"/>
      <c r="J58" s="8">
        <f t="shared" si="0"/>
        <v>0</v>
      </c>
      <c r="K58" s="24"/>
      <c r="L58" s="24"/>
      <c r="M58" s="24"/>
      <c r="N58" s="24"/>
      <c r="O58" s="24"/>
      <c r="P58" s="24">
        <f t="shared" si="1"/>
        <v>0</v>
      </c>
    </row>
    <row r="59" s="2" customFormat="1" ht="18" customHeight="1" spans="1:16">
      <c r="A59" s="11" t="s">
        <v>133</v>
      </c>
      <c r="B59" s="4" t="s">
        <v>134</v>
      </c>
      <c r="C59" s="8" t="s">
        <v>29</v>
      </c>
      <c r="D59" s="8">
        <v>0</v>
      </c>
      <c r="E59" s="8">
        <f>0.055</f>
        <v>0.055</v>
      </c>
      <c r="F59" s="8">
        <f>0.055</f>
        <v>0.055</v>
      </c>
      <c r="G59" s="8"/>
      <c r="H59" s="8"/>
      <c r="I59" s="8"/>
      <c r="J59" s="8">
        <f t="shared" si="0"/>
        <v>0</v>
      </c>
      <c r="K59" s="24"/>
      <c r="L59" s="24"/>
      <c r="M59" s="24"/>
      <c r="N59" s="24"/>
      <c r="O59" s="24"/>
      <c r="P59" s="24">
        <f t="shared" si="1"/>
        <v>0</v>
      </c>
    </row>
    <row r="60" s="2" customFormat="1" ht="18" customHeight="1" spans="1:16">
      <c r="A60" s="9" t="s">
        <v>135</v>
      </c>
      <c r="B60" s="4" t="s">
        <v>136</v>
      </c>
      <c r="C60" s="8" t="s">
        <v>32</v>
      </c>
      <c r="D60" s="8">
        <v>4.875</v>
      </c>
      <c r="E60" s="8"/>
      <c r="F60" s="10">
        <f>4.875</f>
        <v>4.875</v>
      </c>
      <c r="G60" s="10"/>
      <c r="H60" s="10"/>
      <c r="I60" s="10"/>
      <c r="J60" s="8">
        <f t="shared" si="0"/>
        <v>0</v>
      </c>
      <c r="K60" s="24"/>
      <c r="L60" s="24"/>
      <c r="M60" s="24"/>
      <c r="N60" s="24"/>
      <c r="O60" s="24"/>
      <c r="P60" s="24">
        <f t="shared" si="1"/>
        <v>0</v>
      </c>
    </row>
    <row r="61" s="2" customFormat="1" ht="18" customHeight="1" spans="1:16">
      <c r="A61" s="11" t="s">
        <v>137</v>
      </c>
      <c r="B61" s="8" t="s">
        <v>138</v>
      </c>
      <c r="C61" s="8" t="s">
        <v>32</v>
      </c>
      <c r="D61" s="8">
        <v>14.1115</v>
      </c>
      <c r="E61" s="8">
        <f>10.14+9.56+6.559</f>
        <v>26.259</v>
      </c>
      <c r="F61" s="10">
        <f>12.14+1.9715</f>
        <v>14.1115</v>
      </c>
      <c r="G61" s="10"/>
      <c r="H61" s="10"/>
      <c r="I61" s="10"/>
      <c r="J61" s="8">
        <f t="shared" si="0"/>
        <v>26.259</v>
      </c>
      <c r="K61" s="24"/>
      <c r="L61" s="24">
        <v>26.259</v>
      </c>
      <c r="M61" s="24"/>
      <c r="N61" s="24"/>
      <c r="O61" s="24"/>
      <c r="P61" s="24">
        <f t="shared" si="1"/>
        <v>26.259</v>
      </c>
    </row>
    <row r="62" s="2" customFormat="1" ht="18" customHeight="1" spans="1:16">
      <c r="A62" s="12" t="s">
        <v>139</v>
      </c>
      <c r="B62" s="8" t="s">
        <v>138</v>
      </c>
      <c r="C62" s="8" t="s">
        <v>72</v>
      </c>
      <c r="D62" s="8">
        <v>0</v>
      </c>
      <c r="E62" s="8"/>
      <c r="F62" s="10"/>
      <c r="G62" s="10"/>
      <c r="H62" s="10"/>
      <c r="I62" s="10"/>
      <c r="J62" s="8">
        <f t="shared" si="0"/>
        <v>0</v>
      </c>
      <c r="K62" s="24"/>
      <c r="L62" s="24"/>
      <c r="M62" s="24"/>
      <c r="N62" s="24"/>
      <c r="O62" s="24"/>
      <c r="P62" s="24">
        <f t="shared" si="1"/>
        <v>0</v>
      </c>
    </row>
    <row r="63" s="2" customFormat="1" ht="18" customHeight="1" spans="1:16">
      <c r="A63" s="12" t="s">
        <v>139</v>
      </c>
      <c r="B63" s="8" t="s">
        <v>138</v>
      </c>
      <c r="C63" s="8" t="s">
        <v>29</v>
      </c>
      <c r="D63" s="8">
        <v>2.48</v>
      </c>
      <c r="E63" s="8">
        <f>19.6+0.468</f>
        <v>20.068</v>
      </c>
      <c r="F63" s="8">
        <f>0.468</f>
        <v>0.468</v>
      </c>
      <c r="G63" s="8"/>
      <c r="H63" s="8"/>
      <c r="I63" s="8"/>
      <c r="J63" s="8">
        <f t="shared" si="0"/>
        <v>22.08</v>
      </c>
      <c r="K63" s="24"/>
      <c r="L63" s="24">
        <v>22.08</v>
      </c>
      <c r="M63" s="24"/>
      <c r="N63" s="24"/>
      <c r="O63" s="24"/>
      <c r="P63" s="24">
        <f t="shared" si="1"/>
        <v>22.08</v>
      </c>
    </row>
    <row r="64" s="2" customFormat="1" ht="18" customHeight="1" spans="1:16">
      <c r="A64" s="21" t="s">
        <v>140</v>
      </c>
      <c r="B64" s="7" t="s">
        <v>141</v>
      </c>
      <c r="C64" s="8" t="s">
        <v>29</v>
      </c>
      <c r="D64" s="8">
        <v>0</v>
      </c>
      <c r="E64" s="8">
        <f>0.835</f>
        <v>0.835</v>
      </c>
      <c r="F64" s="10"/>
      <c r="G64" s="10"/>
      <c r="H64" s="10"/>
      <c r="I64" s="10"/>
      <c r="J64" s="8">
        <f t="shared" si="0"/>
        <v>0.835</v>
      </c>
      <c r="K64" s="24"/>
      <c r="L64" s="24">
        <v>0.835</v>
      </c>
      <c r="M64" s="24"/>
      <c r="N64" s="24"/>
      <c r="O64" s="24"/>
      <c r="P64" s="24">
        <f t="shared" si="1"/>
        <v>0.835</v>
      </c>
    </row>
    <row r="65" s="2" customFormat="1" ht="18" customHeight="1" spans="1:16">
      <c r="A65" s="21" t="s">
        <v>140</v>
      </c>
      <c r="B65" s="7" t="s">
        <v>141</v>
      </c>
      <c r="C65" s="8" t="s">
        <v>32</v>
      </c>
      <c r="D65" s="8">
        <v>0</v>
      </c>
      <c r="E65" s="8">
        <f>4.845+15.7</f>
        <v>20.545</v>
      </c>
      <c r="F65" s="10"/>
      <c r="G65" s="10"/>
      <c r="H65" s="10"/>
      <c r="I65" s="10"/>
      <c r="J65" s="8">
        <f t="shared" si="0"/>
        <v>20.545</v>
      </c>
      <c r="K65" s="24"/>
      <c r="L65" s="24">
        <v>20.545</v>
      </c>
      <c r="M65" s="24"/>
      <c r="N65" s="24"/>
      <c r="O65" s="24"/>
      <c r="P65" s="24">
        <f t="shared" si="1"/>
        <v>20.545</v>
      </c>
    </row>
    <row r="66" s="2" customFormat="1" ht="18" customHeight="1" spans="1:16">
      <c r="A66" s="21" t="s">
        <v>142</v>
      </c>
      <c r="B66" s="7" t="s">
        <v>143</v>
      </c>
      <c r="C66" s="8" t="s">
        <v>32</v>
      </c>
      <c r="D66" s="8">
        <v>0</v>
      </c>
      <c r="E66" s="8">
        <f>0.1</f>
        <v>0.1</v>
      </c>
      <c r="F66" s="10"/>
      <c r="G66" s="10"/>
      <c r="H66" s="10"/>
      <c r="I66" s="10"/>
      <c r="J66" s="8">
        <f t="shared" si="0"/>
        <v>0.1</v>
      </c>
      <c r="K66" s="24">
        <v>0.1</v>
      </c>
      <c r="L66" s="24"/>
      <c r="M66" s="24"/>
      <c r="N66" s="24"/>
      <c r="O66" s="24"/>
      <c r="P66" s="24">
        <f t="shared" si="1"/>
        <v>0.1</v>
      </c>
    </row>
    <row r="67" s="2" customFormat="1" ht="18" customHeight="1" spans="1:16">
      <c r="A67" s="11" t="s">
        <v>144</v>
      </c>
      <c r="B67" s="8" t="s">
        <v>145</v>
      </c>
      <c r="C67" s="8" t="s">
        <v>29</v>
      </c>
      <c r="D67" s="8">
        <v>0</v>
      </c>
      <c r="E67" s="8">
        <f>0.74</f>
        <v>0.74</v>
      </c>
      <c r="F67" s="10">
        <f>0.74</f>
        <v>0.74</v>
      </c>
      <c r="G67" s="10"/>
      <c r="H67" s="10"/>
      <c r="I67" s="10"/>
      <c r="J67" s="8">
        <f t="shared" si="0"/>
        <v>0</v>
      </c>
      <c r="K67" s="24"/>
      <c r="L67" s="24"/>
      <c r="M67" s="24"/>
      <c r="N67" s="24"/>
      <c r="O67" s="24"/>
      <c r="P67" s="24">
        <f t="shared" si="1"/>
        <v>0</v>
      </c>
    </row>
    <row r="68" s="2" customFormat="1" ht="18" customHeight="1" spans="1:16">
      <c r="A68" s="33" t="s">
        <v>146</v>
      </c>
      <c r="B68" s="8" t="s">
        <v>147</v>
      </c>
      <c r="C68" s="8" t="s">
        <v>29</v>
      </c>
      <c r="D68" s="8">
        <v>240.1</v>
      </c>
      <c r="E68" s="8"/>
      <c r="F68" s="10"/>
      <c r="G68" s="10">
        <f>5+33.98</f>
        <v>38.98</v>
      </c>
      <c r="H68" s="10"/>
      <c r="I68" s="10"/>
      <c r="J68" s="8">
        <f t="shared" ref="J68:J82" si="3">D68+E68-F68-G68-H68-I68</f>
        <v>201.12</v>
      </c>
      <c r="K68" s="24"/>
      <c r="L68" s="24"/>
      <c r="M68" s="24"/>
      <c r="N68" s="24">
        <v>201.12</v>
      </c>
      <c r="O68" s="24"/>
      <c r="P68" s="24">
        <f t="shared" ref="P68:P81" si="4">K68+L68+M68+N68+O68</f>
        <v>201.12</v>
      </c>
    </row>
    <row r="69" s="2" customFormat="1" ht="18" customHeight="1" spans="1:16">
      <c r="A69" s="34" t="s">
        <v>140</v>
      </c>
      <c r="B69" s="8" t="s">
        <v>148</v>
      </c>
      <c r="C69" s="8" t="s">
        <v>72</v>
      </c>
      <c r="D69" s="8">
        <v>0.26</v>
      </c>
      <c r="E69" s="8">
        <f>0.68</f>
        <v>0.68</v>
      </c>
      <c r="F69" s="10">
        <f>0.26</f>
        <v>0.26</v>
      </c>
      <c r="G69" s="10"/>
      <c r="H69" s="10"/>
      <c r="I69" s="10"/>
      <c r="J69" s="8">
        <f t="shared" si="3"/>
        <v>0.68</v>
      </c>
      <c r="K69" s="24"/>
      <c r="L69" s="24">
        <v>0.68</v>
      </c>
      <c r="M69" s="24"/>
      <c r="N69" s="24"/>
      <c r="O69" s="24"/>
      <c r="P69" s="24">
        <f t="shared" si="4"/>
        <v>0.68</v>
      </c>
    </row>
    <row r="70" s="2" customFormat="1" ht="18" customHeight="1" spans="1:16">
      <c r="A70" s="34" t="s">
        <v>140</v>
      </c>
      <c r="B70" s="8" t="s">
        <v>148</v>
      </c>
      <c r="C70" s="8" t="s">
        <v>32</v>
      </c>
      <c r="D70" s="8">
        <v>0</v>
      </c>
      <c r="E70" s="8">
        <f>26.22+1.97</f>
        <v>28.19</v>
      </c>
      <c r="F70" s="10"/>
      <c r="G70" s="10"/>
      <c r="H70" s="10"/>
      <c r="I70" s="10"/>
      <c r="J70" s="8">
        <f t="shared" si="3"/>
        <v>28.19</v>
      </c>
      <c r="K70" s="24"/>
      <c r="L70" s="24">
        <v>28.19</v>
      </c>
      <c r="M70" s="24"/>
      <c r="N70" s="24"/>
      <c r="O70" s="24"/>
      <c r="P70" s="24">
        <f t="shared" si="4"/>
        <v>28.19</v>
      </c>
    </row>
    <row r="71" s="2" customFormat="1" ht="18" customHeight="1" spans="1:16">
      <c r="A71" s="12" t="s">
        <v>149</v>
      </c>
      <c r="B71" s="14" t="s">
        <v>150</v>
      </c>
      <c r="C71" s="8" t="s">
        <v>32</v>
      </c>
      <c r="D71" s="8">
        <v>239.85</v>
      </c>
      <c r="E71" s="8">
        <f>8.61+8.585+10.91+22.1+15.53+16.6204+37.6085+18.203+9.47+2.3095+32.2246+11.61+20.207+6.22+9.496+25.06</f>
        <v>254.764</v>
      </c>
      <c r="F71" s="10">
        <f>32.3992+40.5108+47.1385+25.2655+32.9785+49.5995+69.091+7.8+48.5055</f>
        <v>353.2885</v>
      </c>
      <c r="G71" s="10"/>
      <c r="H71" s="10">
        <f>2.68+1.96+3.86</f>
        <v>8.5</v>
      </c>
      <c r="I71" s="10"/>
      <c r="J71" s="8">
        <f t="shared" si="3"/>
        <v>132.8255</v>
      </c>
      <c r="K71" s="24">
        <f>111.5955-80</f>
        <v>31.5955</v>
      </c>
      <c r="L71" s="24">
        <v>21.23</v>
      </c>
      <c r="M71" s="24"/>
      <c r="N71" s="24"/>
      <c r="O71" s="24">
        <v>80</v>
      </c>
      <c r="P71" s="24">
        <f t="shared" si="4"/>
        <v>132.8255</v>
      </c>
    </row>
    <row r="72" s="2" customFormat="1" ht="18" customHeight="1" spans="1:16">
      <c r="A72" s="11" t="s">
        <v>151</v>
      </c>
      <c r="B72" s="14" t="s">
        <v>152</v>
      </c>
      <c r="C72" s="8" t="s">
        <v>32</v>
      </c>
      <c r="D72" s="8">
        <v>231.1725</v>
      </c>
      <c r="E72" s="8">
        <f>0.311</f>
        <v>0.311</v>
      </c>
      <c r="F72" s="10">
        <f>31.06+58.7195+0.253+54.82+44.66+41.66+0.311</f>
        <v>231.4835</v>
      </c>
      <c r="G72" s="10"/>
      <c r="H72" s="10"/>
      <c r="I72" s="10"/>
      <c r="J72" s="8">
        <f t="shared" si="3"/>
        <v>0</v>
      </c>
      <c r="K72" s="24"/>
      <c r="L72" s="24"/>
      <c r="M72" s="24"/>
      <c r="N72" s="24"/>
      <c r="O72" s="24"/>
      <c r="P72" s="24">
        <f t="shared" si="4"/>
        <v>0</v>
      </c>
    </row>
    <row r="73" s="2" customFormat="1" ht="18" customHeight="1" spans="1:16">
      <c r="A73" s="12" t="s">
        <v>140</v>
      </c>
      <c r="B73" s="14" t="s">
        <v>153</v>
      </c>
      <c r="C73" s="8" t="s">
        <v>32</v>
      </c>
      <c r="D73" s="8">
        <v>0</v>
      </c>
      <c r="E73" s="8">
        <f>4.4+5</f>
        <v>9.4</v>
      </c>
      <c r="F73" s="10"/>
      <c r="G73" s="10"/>
      <c r="H73" s="10"/>
      <c r="I73" s="10"/>
      <c r="J73" s="8">
        <f t="shared" si="3"/>
        <v>9.4</v>
      </c>
      <c r="K73" s="24"/>
      <c r="L73" s="24">
        <v>9.4</v>
      </c>
      <c r="M73" s="24"/>
      <c r="N73" s="24"/>
      <c r="O73" s="24"/>
      <c r="P73" s="24">
        <f t="shared" si="4"/>
        <v>9.4</v>
      </c>
    </row>
    <row r="74" s="2" customFormat="1" ht="18" customHeight="1" spans="1:16">
      <c r="A74" s="12" t="s">
        <v>140</v>
      </c>
      <c r="B74" s="14" t="s">
        <v>153</v>
      </c>
      <c r="C74" s="8" t="s">
        <v>72</v>
      </c>
      <c r="D74" s="8">
        <v>0</v>
      </c>
      <c r="E74" s="8">
        <f>2+0.595</f>
        <v>2.595</v>
      </c>
      <c r="F74" s="10"/>
      <c r="G74" s="10"/>
      <c r="H74" s="10"/>
      <c r="I74" s="10"/>
      <c r="J74" s="8">
        <f t="shared" si="3"/>
        <v>2.595</v>
      </c>
      <c r="K74" s="24"/>
      <c r="L74" s="24">
        <v>2.595</v>
      </c>
      <c r="M74" s="24"/>
      <c r="N74" s="24"/>
      <c r="O74" s="24"/>
      <c r="P74" s="24">
        <f t="shared" si="4"/>
        <v>2.595</v>
      </c>
    </row>
    <row r="75" s="2" customFormat="1" ht="18" customHeight="1" spans="1:16">
      <c r="A75" s="12" t="s">
        <v>63</v>
      </c>
      <c r="B75" s="8" t="s">
        <v>154</v>
      </c>
      <c r="C75" s="8" t="s">
        <v>32</v>
      </c>
      <c r="D75" s="8">
        <v>14.595</v>
      </c>
      <c r="E75" s="8">
        <f>2.6835+0.82+0.1+19.016</f>
        <v>22.6195</v>
      </c>
      <c r="F75" s="8">
        <f>9.377+0.05+0.17+1.07+3.928</f>
        <v>14.595</v>
      </c>
      <c r="G75" s="8"/>
      <c r="H75" s="8"/>
      <c r="I75" s="8"/>
      <c r="J75" s="8">
        <f t="shared" si="3"/>
        <v>22.6195</v>
      </c>
      <c r="K75" s="24">
        <v>2.8</v>
      </c>
      <c r="L75" s="24">
        <f>19.8195-10</f>
        <v>9.8195</v>
      </c>
      <c r="M75" s="24"/>
      <c r="N75" s="24"/>
      <c r="O75" s="24">
        <v>10</v>
      </c>
      <c r="P75" s="24">
        <f t="shared" si="4"/>
        <v>22.6195</v>
      </c>
    </row>
    <row r="76" s="2" customFormat="1" ht="18" customHeight="1" spans="1:16">
      <c r="A76" s="11" t="s">
        <v>155</v>
      </c>
      <c r="B76" s="8" t="s">
        <v>156</v>
      </c>
      <c r="C76" s="8" t="s">
        <v>32</v>
      </c>
      <c r="D76" s="8">
        <v>3.017</v>
      </c>
      <c r="E76" s="8"/>
      <c r="F76" s="8">
        <f>3.017</f>
        <v>3.017</v>
      </c>
      <c r="G76" s="8"/>
      <c r="H76" s="8"/>
      <c r="I76" s="8"/>
      <c r="J76" s="8">
        <f t="shared" si="3"/>
        <v>0</v>
      </c>
      <c r="K76" s="24"/>
      <c r="L76" s="24"/>
      <c r="M76" s="24"/>
      <c r="N76" s="24"/>
      <c r="O76" s="24"/>
      <c r="P76" s="24">
        <f t="shared" si="4"/>
        <v>0</v>
      </c>
    </row>
    <row r="77" s="2" customFormat="1" ht="18" customHeight="1" spans="1:16">
      <c r="A77" s="11" t="s">
        <v>157</v>
      </c>
      <c r="B77" s="14" t="s">
        <v>158</v>
      </c>
      <c r="C77" s="8" t="s">
        <v>32</v>
      </c>
      <c r="D77" s="8">
        <v>1.24</v>
      </c>
      <c r="E77" s="8">
        <f>0.431+0.1694+0.56</f>
        <v>1.1604</v>
      </c>
      <c r="F77" s="10">
        <f>0.14+1.1+0.431+0.1694</f>
        <v>1.8404</v>
      </c>
      <c r="G77" s="10"/>
      <c r="H77" s="10"/>
      <c r="I77" s="10"/>
      <c r="J77" s="8">
        <f t="shared" si="3"/>
        <v>0.56</v>
      </c>
      <c r="K77" s="24"/>
      <c r="L77" s="24">
        <v>0.56</v>
      </c>
      <c r="M77" s="24"/>
      <c r="N77" s="24"/>
      <c r="O77" s="24"/>
      <c r="P77" s="24">
        <f t="shared" si="4"/>
        <v>0.56</v>
      </c>
    </row>
    <row r="78" s="2" customFormat="1" ht="18" customHeight="1" spans="1:16">
      <c r="A78" s="11" t="s">
        <v>159</v>
      </c>
      <c r="B78" s="14" t="s">
        <v>158</v>
      </c>
      <c r="C78" s="8" t="s">
        <v>29</v>
      </c>
      <c r="D78" s="8">
        <v>37.1996</v>
      </c>
      <c r="E78" s="8">
        <f>1.909+2.1875+3.162+1.0606+3.8789+3.356+2+2.99</f>
        <v>20.544</v>
      </c>
      <c r="F78" s="10">
        <f>0.6</f>
        <v>0.6</v>
      </c>
      <c r="G78" s="10">
        <f>0.66+0.858+4.435+5.3495</f>
        <v>11.3025</v>
      </c>
      <c r="H78" s="10"/>
      <c r="I78" s="10"/>
      <c r="J78" s="8">
        <f t="shared" si="3"/>
        <v>45.8411</v>
      </c>
      <c r="K78" s="24"/>
      <c r="L78" s="24">
        <v>45.8411</v>
      </c>
      <c r="M78" s="24"/>
      <c r="N78" s="24"/>
      <c r="O78" s="24"/>
      <c r="P78" s="24">
        <f t="shared" si="4"/>
        <v>45.8411</v>
      </c>
    </row>
    <row r="79" s="2" customFormat="1" ht="18" customHeight="1" spans="1:16">
      <c r="A79" s="9" t="s">
        <v>160</v>
      </c>
      <c r="B79" s="14" t="s">
        <v>161</v>
      </c>
      <c r="C79" s="8" t="s">
        <v>32</v>
      </c>
      <c r="D79" s="8">
        <v>0.03</v>
      </c>
      <c r="E79" s="8">
        <f>0.72</f>
        <v>0.72</v>
      </c>
      <c r="F79" s="10">
        <f>0.03</f>
        <v>0.03</v>
      </c>
      <c r="G79" s="10"/>
      <c r="H79" s="10"/>
      <c r="I79" s="10"/>
      <c r="J79" s="8">
        <f t="shared" si="3"/>
        <v>0.72</v>
      </c>
      <c r="K79" s="24">
        <v>0.72</v>
      </c>
      <c r="L79" s="24"/>
      <c r="M79" s="24"/>
      <c r="N79" s="24"/>
      <c r="O79" s="24"/>
      <c r="P79" s="24">
        <f t="shared" si="4"/>
        <v>0.72</v>
      </c>
    </row>
    <row r="80" s="2" customFormat="1" ht="18" customHeight="1" spans="1:16">
      <c r="A80" s="11" t="s">
        <v>162</v>
      </c>
      <c r="B80" s="14" t="s">
        <v>161</v>
      </c>
      <c r="C80" s="8" t="s">
        <v>29</v>
      </c>
      <c r="D80" s="8">
        <v>16.48</v>
      </c>
      <c r="E80" s="8">
        <f>0.771</f>
        <v>0.771</v>
      </c>
      <c r="F80" s="10"/>
      <c r="G80" s="10"/>
      <c r="H80" s="10"/>
      <c r="I80" s="10"/>
      <c r="J80" s="8">
        <f t="shared" si="3"/>
        <v>17.251</v>
      </c>
      <c r="K80" s="24">
        <v>0.771</v>
      </c>
      <c r="L80" s="24">
        <v>16.48</v>
      </c>
      <c r="M80" s="24"/>
      <c r="N80" s="24"/>
      <c r="O80" s="24"/>
      <c r="P80" s="24">
        <f t="shared" si="4"/>
        <v>17.251</v>
      </c>
    </row>
    <row r="81" s="2" customFormat="1" ht="18" customHeight="1" spans="1:16">
      <c r="A81" s="11" t="s">
        <v>163</v>
      </c>
      <c r="B81" s="14" t="s">
        <v>164</v>
      </c>
      <c r="C81" s="8" t="s">
        <v>32</v>
      </c>
      <c r="D81" s="8">
        <v>0</v>
      </c>
      <c r="E81" s="8">
        <f>0.1</f>
        <v>0.1</v>
      </c>
      <c r="F81" s="10"/>
      <c r="G81" s="10"/>
      <c r="H81" s="10"/>
      <c r="I81" s="10"/>
      <c r="J81" s="8">
        <f t="shared" si="3"/>
        <v>0.1</v>
      </c>
      <c r="K81" s="24"/>
      <c r="L81" s="24">
        <v>0.1</v>
      </c>
      <c r="M81" s="24"/>
      <c r="N81" s="24"/>
      <c r="O81" s="24"/>
      <c r="P81" s="24">
        <f t="shared" si="4"/>
        <v>0.1</v>
      </c>
    </row>
    <row r="82" s="2" customFormat="1" ht="18" customHeight="1" spans="1:16">
      <c r="A82" s="12" t="s">
        <v>165</v>
      </c>
      <c r="B82" s="8"/>
      <c r="C82" s="8"/>
      <c r="D82" s="8">
        <v>4472.63137</v>
      </c>
      <c r="E82" s="14">
        <f>SUM(E4:E81)</f>
        <v>1704.6454</v>
      </c>
      <c r="F82" s="14">
        <f>SUM(F4:F81)</f>
        <v>1238.05275</v>
      </c>
      <c r="G82" s="14">
        <f>SUM(G4:G81)</f>
        <v>323.3697</v>
      </c>
      <c r="H82" s="14">
        <f>SUM(H4:H81)</f>
        <v>12.18</v>
      </c>
      <c r="I82" s="14">
        <f>SUM(I4:I81)</f>
        <v>0</v>
      </c>
      <c r="J82" s="8">
        <f t="shared" si="3"/>
        <v>4603.67432</v>
      </c>
      <c r="K82" s="24">
        <f t="shared" ref="K82:P82" si="5">SUM(K4:K81)</f>
        <v>909.0705</v>
      </c>
      <c r="L82" s="24">
        <f t="shared" si="5"/>
        <v>1342.31035</v>
      </c>
      <c r="M82" s="24">
        <f t="shared" si="5"/>
        <v>0</v>
      </c>
      <c r="N82" s="24">
        <f t="shared" si="5"/>
        <v>1992.29347</v>
      </c>
      <c r="O82" s="24">
        <f t="shared" si="5"/>
        <v>360</v>
      </c>
      <c r="P82" s="24">
        <f t="shared" si="5"/>
        <v>4603.67432</v>
      </c>
    </row>
    <row r="83" s="1" customFormat="1" ht="25" customHeight="1" spans="1:10">
      <c r="A83" s="35" t="s">
        <v>166</v>
      </c>
      <c r="B83" s="26"/>
      <c r="C83" s="35"/>
      <c r="D83" s="26"/>
      <c r="E83" s="26"/>
      <c r="F83" s="36">
        <f>F82+G82+H82</f>
        <v>1573.60245</v>
      </c>
      <c r="G83" s="37"/>
      <c r="H83" s="37"/>
      <c r="I83" s="37"/>
      <c r="J83" s="26"/>
    </row>
    <row r="84" s="2" customFormat="1" ht="14.25" spans="1:16">
      <c r="A84" s="1"/>
      <c r="B84" s="2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="2" customFormat="1" ht="14.25" spans="1:16">
      <c r="A85" s="1"/>
      <c r="B85" s="2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="2" customFormat="1" ht="14.25" spans="1:16">
      <c r="A86" s="1"/>
      <c r="B86" s="2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="2" customFormat="1" ht="14.25" spans="1:16">
      <c r="A87" s="1"/>
      <c r="B87" s="2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="2" customFormat="1" ht="14.25" spans="1:16">
      <c r="A88" s="1"/>
      <c r="B88" s="2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="2" customFormat="1" ht="14.25" spans="1:16">
      <c r="A89" s="1"/>
      <c r="B89" s="2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="2" customFormat="1" ht="14.25" spans="1:16">
      <c r="A90" s="1"/>
      <c r="B90" s="2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="2" customFormat="1" ht="14.25" spans="1:16">
      <c r="A91" s="1"/>
      <c r="B91" s="2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="2" customFormat="1" ht="14.25" spans="1:16">
      <c r="A92" s="1"/>
      <c r="B92" s="2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="2" customFormat="1" ht="14.25" spans="1:16">
      <c r="A93" s="1"/>
      <c r="B93" s="2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="2" customFormat="1" ht="14.25" spans="1:16">
      <c r="A94" s="1"/>
      <c r="B94" s="2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="2" customFormat="1" ht="14.25" spans="1:16">
      <c r="A95" s="1"/>
      <c r="B95" s="2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="2" customFormat="1" ht="14.25" spans="1:16">
      <c r="A96" s="1"/>
      <c r="B96" s="2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="2" customFormat="1" ht="14.25" spans="1:16">
      <c r="A97" s="1"/>
      <c r="B97" s="2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="2" customFormat="1" ht="14.25" spans="1:16">
      <c r="A98" s="1"/>
      <c r="B98" s="2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="2" customFormat="1" ht="14.25" spans="1:16">
      <c r="A99" s="1"/>
      <c r="B99" s="2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="2" customFormat="1" ht="14.25" spans="1:16">
      <c r="A100" s="1"/>
      <c r="B100" s="2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="2" customFormat="1" ht="14.25" spans="1:16">
      <c r="A101" s="1"/>
      <c r="B101" s="2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="2" customFormat="1" ht="14.25" spans="1:16">
      <c r="A102" s="1"/>
      <c r="B102" s="2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="2" customFormat="1" ht="14.25" spans="1:16">
      <c r="A103" s="1"/>
      <c r="B103" s="2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="2" customFormat="1" ht="14.25" spans="1:16">
      <c r="A104" s="1"/>
      <c r="B104" s="2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="2" customFormat="1" ht="14.25" spans="1:16">
      <c r="A105" s="1"/>
      <c r="B105" s="2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="2" customFormat="1" ht="14.25" spans="1:16">
      <c r="A106" s="1"/>
      <c r="B106" s="2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="2" customFormat="1" ht="14.25" spans="1:16">
      <c r="A107" s="1"/>
      <c r="B107" s="2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="2" customFormat="1" ht="14.25" spans="1:16">
      <c r="A108" s="1"/>
      <c r="B108" s="2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="2" customFormat="1" ht="14.25" spans="1:16">
      <c r="A109" s="1"/>
      <c r="B109" s="2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="2" customFormat="1" ht="14.25" spans="1:16">
      <c r="A110" s="1"/>
      <c r="B110" s="2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="2" customFormat="1" ht="14.25" spans="1:16">
      <c r="A111" s="1"/>
      <c r="B111" s="2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="2" customFormat="1" ht="14.25" spans="1:16">
      <c r="A112" s="1"/>
      <c r="B112" s="2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="2" customFormat="1" ht="14.25" spans="1:16">
      <c r="A113" s="1"/>
      <c r="B113" s="2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="2" customFormat="1" ht="14.25" spans="1:16">
      <c r="A114" s="1"/>
      <c r="B114" s="2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="2" customFormat="1" ht="14.25" spans="1:16">
      <c r="A115" s="1"/>
      <c r="B115" s="2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="2" customFormat="1" ht="14.25" spans="1:16">
      <c r="A116" s="1"/>
      <c r="B116" s="2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="2" customFormat="1" ht="14.25" spans="1:16">
      <c r="A117" s="1"/>
      <c r="B117" s="2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="2" customFormat="1" ht="14.25" spans="1:16">
      <c r="A118" s="1"/>
      <c r="B118" s="2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="2" customFormat="1" ht="14.25" spans="1:16">
      <c r="A119" s="1"/>
      <c r="B119" s="2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="2" customFormat="1" ht="14.25" spans="1:16">
      <c r="A120" s="1"/>
      <c r="B120" s="2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="2" customFormat="1" ht="14.25" spans="1:16">
      <c r="A121" s="1"/>
      <c r="B121" s="2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="2" customFormat="1" ht="14.25" spans="1:16">
      <c r="A122" s="1"/>
      <c r="B122" s="2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="2" customFormat="1" ht="14.25" spans="1:16">
      <c r="A123" s="1"/>
      <c r="B123" s="2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="2" customFormat="1" ht="14.25" spans="1:16">
      <c r="A124" s="1"/>
      <c r="B124" s="2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="2" customFormat="1" ht="14.25" spans="1:16">
      <c r="A125" s="1"/>
      <c r="B125" s="2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="2" customFormat="1" ht="14.25" spans="1:16">
      <c r="A126" s="1"/>
      <c r="B126" s="2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="2" customFormat="1" ht="14.25" spans="1:16">
      <c r="A127" s="1"/>
      <c r="B127" s="2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="2" customFormat="1" ht="14.25" spans="1:16">
      <c r="A128" s="1"/>
      <c r="B128" s="2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="2" customFormat="1" ht="14.25" spans="1:16">
      <c r="A129" s="1"/>
      <c r="B129" s="2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="2" customFormat="1" ht="14.25" spans="1:16">
      <c r="A130" s="1"/>
      <c r="B130" s="2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="2" customFormat="1" ht="14.25" spans="1:16">
      <c r="A131" s="1"/>
      <c r="B131" s="2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="2" customFormat="1" ht="14.25" spans="1:16">
      <c r="A132" s="1"/>
      <c r="B132" s="2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="2" customFormat="1" ht="14.25" spans="1:16">
      <c r="A133" s="1"/>
      <c r="B133" s="2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="2" customFormat="1" ht="14.25" spans="1:16">
      <c r="A134" s="1"/>
      <c r="B134" s="2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="2" customFormat="1" ht="14.25" spans="1:16">
      <c r="A135" s="1"/>
      <c r="B135" s="2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="2" customFormat="1" ht="14.25" spans="1:16">
      <c r="A136" s="1"/>
      <c r="B136" s="2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="2" customFormat="1" ht="14.25" spans="1:16">
      <c r="A137" s="1"/>
      <c r="B137" s="2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2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2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2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2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2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2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2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2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2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2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2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2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2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2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2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2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2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2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2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2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2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2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2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2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2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="2" customFormat="1" ht="14.25" spans="1:16">
      <c r="A189" s="1"/>
      <c r="B189" s="25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="2" customFormat="1" ht="14.25" spans="1:16">
      <c r="A190" s="1"/>
      <c r="B190" s="25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="2" customFormat="1" ht="14.25" spans="1:16">
      <c r="A191" s="1"/>
      <c r="B191" s="25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="2" customFormat="1" ht="14.25" spans="1:16">
      <c r="A192" s="1"/>
      <c r="B192" s="25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="2" customFormat="1" ht="14.25" spans="1:16">
      <c r="A193" s="1"/>
      <c r="B193" s="25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="2" customFormat="1" ht="14.25" spans="1:16">
      <c r="A194" s="1"/>
      <c r="B194" s="25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="2" customFormat="1" ht="14.25" spans="1:16">
      <c r="A195" s="1"/>
      <c r="B195" s="25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</sheetData>
  <mergeCells count="18">
    <mergeCell ref="A1:J1"/>
    <mergeCell ref="R1:AA1"/>
    <mergeCell ref="F2:I2"/>
    <mergeCell ref="V2:X2"/>
    <mergeCell ref="F83:I83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2025-11-04T01:27:00Z</dcterms:created>
  <dcterms:modified xsi:type="dcterms:W3CDTF">2026-01-15T01:14:42Z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755F03604ABE4FD5904E0DBF7E483D74_11</vt:lpwstr>
  </property>
  <property fmtid="{D5CDD505-2E9C-101B-9397-08002B2CF9AE}" pid="3" name="KSOProductBuildVer">
    <vt:lpwstr>2052-11.1.0.14309</vt:lpwstr>
  </property>
</Properties>
</file>