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<sst xmlns="http://schemas.openxmlformats.org/spreadsheetml/2006/main" count="369" uniqueCount="197">
  <si>
    <t>2025年生产部12月接收处置记录统计表</t>
  </si>
  <si>
    <t>自产废物</t>
  </si>
  <si>
    <t>废物名称</t>
  </si>
  <si>
    <t>危废代码</t>
  </si>
  <si>
    <t>形态</t>
  </si>
  <si>
    <t>上月结存</t>
  </si>
  <si>
    <t>本月接收量</t>
  </si>
  <si>
    <t>处置量及工艺</t>
  </si>
  <si>
    <t>库存量</t>
  </si>
  <si>
    <t>1#库</t>
  </si>
  <si>
    <t>2#库</t>
  </si>
  <si>
    <t>干化</t>
  </si>
  <si>
    <t>罐区</t>
  </si>
  <si>
    <t>料坑</t>
  </si>
  <si>
    <t>本月产生量</t>
  </si>
  <si>
    <t>包数</t>
  </si>
  <si>
    <t>本月处理</t>
  </si>
  <si>
    <t>库存</t>
  </si>
  <si>
    <t>备注</t>
  </si>
  <si>
    <t>存储位置</t>
  </si>
  <si>
    <t>固废焚烧</t>
  </si>
  <si>
    <t>废液焚烧</t>
  </si>
  <si>
    <t>清洗大桶</t>
  </si>
  <si>
    <t>污泥干化</t>
  </si>
  <si>
    <t>焚烧处置</t>
  </si>
  <si>
    <t>液体炉</t>
  </si>
  <si>
    <t>拉运</t>
  </si>
  <si>
    <t>蒸馏残液</t>
  </si>
  <si>
    <t>271-001-02</t>
  </si>
  <si>
    <t>液态</t>
  </si>
  <si>
    <t>炉渣（回转窑）</t>
  </si>
  <si>
    <t>精馏残渣</t>
  </si>
  <si>
    <t>固态</t>
  </si>
  <si>
    <t>飞灰（回转窑）</t>
  </si>
  <si>
    <t>废有机溶剂</t>
  </si>
  <si>
    <t>271-002-02</t>
  </si>
  <si>
    <t>飞灰（废液炉）</t>
  </si>
  <si>
    <t>过滤介质</t>
  </si>
  <si>
    <t>271-003-02</t>
  </si>
  <si>
    <t>废油渣/泥</t>
  </si>
  <si>
    <t>精馏切水后剩下的罐底泥</t>
  </si>
  <si>
    <t>272-003-02</t>
  </si>
  <si>
    <t>含油污水</t>
  </si>
  <si>
    <t>蒸汽清洗过程</t>
  </si>
  <si>
    <t>药用废炭</t>
  </si>
  <si>
    <t>271-004-02</t>
  </si>
  <si>
    <t>废商标</t>
  </si>
  <si>
    <t>除商标</t>
  </si>
  <si>
    <t>废盐</t>
  </si>
  <si>
    <t>271-005-02</t>
  </si>
  <si>
    <t>废残液</t>
  </si>
  <si>
    <t>抽残液</t>
  </si>
  <si>
    <t>不合格药品（含包材）</t>
  </si>
  <si>
    <t>276-005-02</t>
  </si>
  <si>
    <t>废渣</t>
  </si>
  <si>
    <t>清洗过程</t>
  </si>
  <si>
    <t>实验室废液</t>
  </si>
  <si>
    <t>900-002-03</t>
  </si>
  <si>
    <t>漆渣</t>
  </si>
  <si>
    <t>一般废药品</t>
  </si>
  <si>
    <t>污水厂污泥</t>
  </si>
  <si>
    <t>水处理后产生的污泥</t>
  </si>
  <si>
    <t>污泥</t>
  </si>
  <si>
    <t>263-011-04</t>
  </si>
  <si>
    <t>半固态</t>
  </si>
  <si>
    <t>废清洗剂</t>
  </si>
  <si>
    <t>清洗剂清洗过程</t>
  </si>
  <si>
    <t>废有机溶剂及废物</t>
  </si>
  <si>
    <t>900-402-06</t>
  </si>
  <si>
    <t>清洗剂、渗透剂包装物</t>
  </si>
  <si>
    <t>900-404-06</t>
  </si>
  <si>
    <t>废有机废液</t>
  </si>
  <si>
    <t>900-405-06</t>
  </si>
  <si>
    <t>废活性炭</t>
  </si>
  <si>
    <t>900-407-06</t>
  </si>
  <si>
    <t>危废污泥</t>
  </si>
  <si>
    <t>900-409-06</t>
  </si>
  <si>
    <t>油污水</t>
  </si>
  <si>
    <t>251-001-08</t>
  </si>
  <si>
    <t>废滤芯</t>
  </si>
  <si>
    <t>251-012-08</t>
  </si>
  <si>
    <t>废溶剂油</t>
  </si>
  <si>
    <t>291-001-08</t>
  </si>
  <si>
    <t>废白油</t>
  </si>
  <si>
    <t>398-001-08</t>
  </si>
  <si>
    <t>研磨泥</t>
  </si>
  <si>
    <t>900-200-08</t>
  </si>
  <si>
    <t>HW08废油</t>
  </si>
  <si>
    <t>废煤油</t>
  </si>
  <si>
    <t>900-201-08</t>
  </si>
  <si>
    <t>废润滑脂</t>
  </si>
  <si>
    <t>900-209-08</t>
  </si>
  <si>
    <t>水处理浮渣及污泥</t>
  </si>
  <si>
    <t>900-210-08</t>
  </si>
  <si>
    <t>废机油、含油废水</t>
  </si>
  <si>
    <t>废油泥</t>
  </si>
  <si>
    <t>废矿物油</t>
  </si>
  <si>
    <t>900-214-08</t>
  </si>
  <si>
    <t>900-217-08</t>
  </si>
  <si>
    <t>废液压油</t>
  </si>
  <si>
    <t>900-218-08</t>
  </si>
  <si>
    <t>废液压油桶</t>
  </si>
  <si>
    <t>废冷冻机油</t>
  </si>
  <si>
    <t>900-219-08</t>
  </si>
  <si>
    <t>废矿物油与含矿物油废物</t>
  </si>
  <si>
    <t>900-220-08</t>
  </si>
  <si>
    <t>900-249-08</t>
  </si>
  <si>
    <t>废矿物油、废油桶</t>
  </si>
  <si>
    <t>废矿物油、油泥</t>
  </si>
  <si>
    <t>废水、乳化液</t>
  </si>
  <si>
    <t>900-007-09</t>
  </si>
  <si>
    <t>沉淀渣</t>
  </si>
  <si>
    <t>沉淀渣、清罐残渣</t>
  </si>
  <si>
    <t>废乳化液</t>
  </si>
  <si>
    <t>900-005-09</t>
  </si>
  <si>
    <t>900-006-09</t>
  </si>
  <si>
    <t>砂轮沫</t>
  </si>
  <si>
    <t>废焦油</t>
  </si>
  <si>
    <t>309-001-11</t>
  </si>
  <si>
    <t>废水汽提塔排重质烃</t>
  </si>
  <si>
    <t>252-009-11</t>
  </si>
  <si>
    <t>煤焦油、釜残</t>
  </si>
  <si>
    <t>900-013-11</t>
  </si>
  <si>
    <t>煤焦油</t>
  </si>
  <si>
    <t>釜残</t>
  </si>
  <si>
    <t>451-003-11</t>
  </si>
  <si>
    <t>900-250-12</t>
  </si>
  <si>
    <t>油漆渣</t>
  </si>
  <si>
    <t>900-251-12</t>
  </si>
  <si>
    <t>废漆渣</t>
  </si>
  <si>
    <t>900-252-12</t>
  </si>
  <si>
    <t>油墨渣子、油漆</t>
  </si>
  <si>
    <t>900-299-12</t>
  </si>
  <si>
    <t>硒鼓墨盒</t>
  </si>
  <si>
    <t>废漆渣稀释剂混合物</t>
  </si>
  <si>
    <t>264-013-12</t>
  </si>
  <si>
    <t>含铬废液</t>
  </si>
  <si>
    <t>264-009-12</t>
  </si>
  <si>
    <t>发泡废料，废胶水</t>
  </si>
  <si>
    <t>900-014-13</t>
  </si>
  <si>
    <t>废树脂</t>
  </si>
  <si>
    <t>900-015-13</t>
  </si>
  <si>
    <t>废螯合树脂</t>
  </si>
  <si>
    <t>900-016-13</t>
  </si>
  <si>
    <t>有机树脂废物</t>
  </si>
  <si>
    <t>PBL真空废液</t>
  </si>
  <si>
    <t>265-101-13</t>
  </si>
  <si>
    <t>不合格有机树脂</t>
  </si>
  <si>
    <t>釜残与滤渣</t>
  </si>
  <si>
    <t>265-103-13</t>
  </si>
  <si>
    <t>污水处理站污泥</t>
  </si>
  <si>
    <t>265-104-13</t>
  </si>
  <si>
    <t>感光废物</t>
  </si>
  <si>
    <t>231-001-16</t>
  </si>
  <si>
    <t>废显影液</t>
  </si>
  <si>
    <t>900-019-16</t>
  </si>
  <si>
    <t>废胶片</t>
  </si>
  <si>
    <t>含铬污泥</t>
  </si>
  <si>
    <t>336-060-17</t>
  </si>
  <si>
    <t>含铜污泥</t>
  </si>
  <si>
    <t>336-062-17</t>
  </si>
  <si>
    <t>电镀污泥</t>
  </si>
  <si>
    <t>336-052-17</t>
  </si>
  <si>
    <t>镀镍废液</t>
  </si>
  <si>
    <t>336-055-17</t>
  </si>
  <si>
    <t>含镍污泥</t>
  </si>
  <si>
    <t>336-063-17</t>
  </si>
  <si>
    <t>磷化污泥</t>
  </si>
  <si>
    <t>336-064-17</t>
  </si>
  <si>
    <t>金属表面处理污泥</t>
  </si>
  <si>
    <t>336-069-17</t>
  </si>
  <si>
    <t>336-100-17</t>
  </si>
  <si>
    <t>清洁剂</t>
  </si>
  <si>
    <t>900-399-35</t>
  </si>
  <si>
    <t>含酚废水</t>
  </si>
  <si>
    <t>261-070-39</t>
  </si>
  <si>
    <t>261-071-39</t>
  </si>
  <si>
    <t>261-084-45</t>
  </si>
  <si>
    <t>含油废物</t>
  </si>
  <si>
    <t>900-041-49</t>
  </si>
  <si>
    <t>废酸碱袋</t>
  </si>
  <si>
    <t>900-042-49</t>
  </si>
  <si>
    <t>772-006-49</t>
  </si>
  <si>
    <t>喷淋废液</t>
  </si>
  <si>
    <t>900-039-49</t>
  </si>
  <si>
    <t>废水污泥</t>
  </si>
  <si>
    <t>900-046-49</t>
  </si>
  <si>
    <t>过期化学药品</t>
  </si>
  <si>
    <t>900-047-49</t>
  </si>
  <si>
    <t>乙腈、异丙酮、废液</t>
  </si>
  <si>
    <t>危险化学品</t>
  </si>
  <si>
    <t>900-999-49</t>
  </si>
  <si>
    <t>过期面膜原料、残液</t>
  </si>
  <si>
    <t>树脂</t>
  </si>
  <si>
    <t>261-151-50</t>
  </si>
  <si>
    <t>小计：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</si>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</sst>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0" fillId="0" borderId="5" xfId="0" applyNumberFormat="1" applyFont="1" applyFill="1" applyBorder="1" applyAlignment="1">
      <alignment vertical="center"/>
    </xf>
    <xf numFmtId="0" fontId="0" fillId="0" borderId="5" xfId="0" applyNumberFormat="1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20"/>
  <sheetViews>
    <sheetView tabSelected="1" topLeftCell="E1" workbookViewId="0">
      <selection activeCell="Y4" sqref="Y4"/>
    </sheetView>
  </sheetViews>
  <sheetFormatPr defaultColWidth="9" defaultRowHeight="13.5"/>
  <cols>
    <col min="1" max="1" width="17.75" style="1" customWidth="1"/>
    <col min="2" max="2" width="11.875" style="1" customWidth="1"/>
    <col min="3" max="3" width="7.375" style="1" customWidth="1"/>
    <col min="4" max="4" width="12" style="1" customWidth="1"/>
    <col min="5" max="5" width="12.125" style="1" customWidth="1"/>
    <col min="6" max="6" width="12.375" style="1" customWidth="1"/>
    <col min="7" max="7" width="10.5" style="1" customWidth="1"/>
    <col min="8" max="8" width="10.25" style="1" customWidth="1"/>
    <col min="9" max="9" width="8.25" style="1" customWidth="1"/>
    <col min="10" max="10" width="13.1416666666667" style="1" customWidth="1"/>
    <col min="11" max="11" width="12.375" style="1" customWidth="1"/>
    <col min="12" max="12" width="10.5" style="1" customWidth="1"/>
    <col min="13" max="13" width="9.375" style="1"/>
    <col min="14" max="14" width="11.75" style="1" customWidth="1"/>
    <col min="15" max="15" width="6.125" style="1" customWidth="1"/>
    <col min="16" max="16" width="12.625" style="1"/>
    <col min="17" max="16384" width="9" style="1"/>
  </cols>
  <sheetData>
    <row r="1" s="1" customFormat="1" ht="40" customHeight="1" spans="1:2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R1" s="27" t="s">
        <v>1</v>
      </c>
      <c r="S1" s="27"/>
      <c r="T1" s="27"/>
      <c r="U1" s="27"/>
      <c r="V1" s="27"/>
      <c r="W1" s="27"/>
      <c r="X1" s="27"/>
      <c r="Y1" s="27"/>
      <c r="Z1" s="27"/>
      <c r="AA1" s="27"/>
    </row>
    <row r="2" s="2" customFormat="1" ht="18" customHeight="1" spans="1:27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6"/>
      <c r="H2" s="6"/>
      <c r="I2" s="6"/>
      <c r="J2" s="4" t="s">
        <v>8</v>
      </c>
      <c r="K2" s="26" t="s">
        <v>9</v>
      </c>
      <c r="L2" s="26" t="s">
        <v>10</v>
      </c>
      <c r="M2" s="26" t="s">
        <v>11</v>
      </c>
      <c r="N2" s="26" t="s">
        <v>12</v>
      </c>
      <c r="O2" s="26" t="s">
        <v>13</v>
      </c>
      <c r="P2" s="26"/>
      <c r="R2" s="28" t="s">
        <v>2</v>
      </c>
      <c r="S2" s="28" t="s">
        <v>5</v>
      </c>
      <c r="T2" s="28" t="s">
        <v>14</v>
      </c>
      <c r="U2" s="29" t="s">
        <v>15</v>
      </c>
      <c r="V2" s="28" t="s">
        <v>16</v>
      </c>
      <c r="W2" s="28"/>
      <c r="X2" s="28"/>
      <c r="Y2" s="29" t="s">
        <v>17</v>
      </c>
      <c r="Z2" s="34" t="s">
        <v>18</v>
      </c>
      <c r="AA2" s="34" t="s">
        <v>19</v>
      </c>
    </row>
    <row r="3" s="2" customFormat="1" ht="18" customHeight="1" spans="1:27">
      <c r="A3" s="7"/>
      <c r="B3" s="7"/>
      <c r="C3" s="7"/>
      <c r="D3" s="7"/>
      <c r="E3" s="7"/>
      <c r="F3" s="8" t="s">
        <v>20</v>
      </c>
      <c r="G3" s="8" t="s">
        <v>21</v>
      </c>
      <c r="H3" s="8" t="s">
        <v>22</v>
      </c>
      <c r="I3" s="8" t="s">
        <v>23</v>
      </c>
      <c r="J3" s="7"/>
      <c r="K3" s="26" t="s">
        <v>9</v>
      </c>
      <c r="L3" s="26" t="s">
        <v>10</v>
      </c>
      <c r="M3" s="26" t="s">
        <v>11</v>
      </c>
      <c r="N3" s="26" t="s">
        <v>12</v>
      </c>
      <c r="O3" s="26" t="s">
        <v>13</v>
      </c>
      <c r="P3" s="26"/>
      <c r="R3" s="28"/>
      <c r="S3" s="28"/>
      <c r="T3" s="28"/>
      <c r="U3" s="30"/>
      <c r="V3" s="28" t="s">
        <v>24</v>
      </c>
      <c r="W3" s="28" t="s">
        <v>25</v>
      </c>
      <c r="X3" s="28" t="s">
        <v>26</v>
      </c>
      <c r="Y3" s="30"/>
      <c r="Z3" s="34"/>
      <c r="AA3" s="34"/>
    </row>
    <row r="4" s="2" customFormat="1" ht="18" customHeight="1" spans="1:27">
      <c r="A4" s="9" t="s">
        <v>27</v>
      </c>
      <c r="B4" s="8" t="s">
        <v>28</v>
      </c>
      <c r="C4" s="8" t="s">
        <v>29</v>
      </c>
      <c r="D4" s="8">
        <v>31.3345</v>
      </c>
      <c r="E4" s="8">
        <f>13</f>
        <v>13</v>
      </c>
      <c r="F4" s="10"/>
      <c r="G4" s="10"/>
      <c r="H4" s="10"/>
      <c r="I4" s="10"/>
      <c r="J4" s="8">
        <f t="shared" ref="J4:J63" si="0">D4+E4-F4-G4-H4-I4</f>
        <v>44.3345</v>
      </c>
      <c r="K4" s="26">
        <v>44.3345</v>
      </c>
      <c r="L4" s="26"/>
      <c r="M4" s="26"/>
      <c r="N4" s="26"/>
      <c r="O4" s="26"/>
      <c r="P4" s="26">
        <f t="shared" ref="P4:P67" si="1">K4+L4+M4+N4+O4</f>
        <v>44.3345</v>
      </c>
      <c r="R4" s="31" t="s">
        <v>30</v>
      </c>
      <c r="S4" s="28">
        <v>258.44</v>
      </c>
      <c r="T4" s="28">
        <f>132.145-37.695</f>
        <v>94.45</v>
      </c>
      <c r="U4" s="28">
        <v>77</v>
      </c>
      <c r="V4" s="28"/>
      <c r="W4" s="28"/>
      <c r="X4" s="28">
        <v>219.79</v>
      </c>
      <c r="Y4" s="28">
        <f t="shared" ref="Y4:Y14" si="2">S4+T4-V4-X4-W4</f>
        <v>133.1</v>
      </c>
      <c r="Z4" s="26"/>
      <c r="AA4" s="26"/>
    </row>
    <row r="5" s="2" customFormat="1" ht="18" customHeight="1" spans="1:27">
      <c r="A5" s="11" t="s">
        <v>31</v>
      </c>
      <c r="B5" s="8" t="s">
        <v>28</v>
      </c>
      <c r="C5" s="8" t="s">
        <v>32</v>
      </c>
      <c r="D5" s="8">
        <v>0</v>
      </c>
      <c r="E5" s="8">
        <f>6.2929+44.82</f>
        <v>51.1129</v>
      </c>
      <c r="F5" s="10">
        <f>6.2929</f>
        <v>6.2929</v>
      </c>
      <c r="G5" s="10"/>
      <c r="H5" s="10"/>
      <c r="I5" s="10"/>
      <c r="J5" s="8">
        <f t="shared" si="0"/>
        <v>44.82</v>
      </c>
      <c r="K5" s="26">
        <v>44.82</v>
      </c>
      <c r="L5" s="26"/>
      <c r="M5" s="26"/>
      <c r="N5" s="26"/>
      <c r="O5" s="26"/>
      <c r="P5" s="26">
        <f t="shared" si="1"/>
        <v>44.82</v>
      </c>
      <c r="R5" s="31" t="s">
        <v>33</v>
      </c>
      <c r="S5" s="32">
        <v>25.933</v>
      </c>
      <c r="T5" s="28">
        <f>13.637</f>
        <v>13.637</v>
      </c>
      <c r="U5" s="28">
        <v>32</v>
      </c>
      <c r="V5" s="28"/>
      <c r="W5" s="28"/>
      <c r="X5" s="28">
        <v>38.5</v>
      </c>
      <c r="Y5" s="28">
        <f t="shared" si="2"/>
        <v>1.07</v>
      </c>
      <c r="Z5" s="26"/>
      <c r="AA5" s="26"/>
    </row>
    <row r="6" s="2" customFormat="1" ht="18" customHeight="1" spans="1:27">
      <c r="A6" s="11" t="s">
        <v>34</v>
      </c>
      <c r="B6" s="8" t="s">
        <v>35</v>
      </c>
      <c r="C6" s="8" t="s">
        <v>29</v>
      </c>
      <c r="D6" s="8">
        <v>9.33824</v>
      </c>
      <c r="E6" s="8"/>
      <c r="F6" s="10">
        <f>9.33824</f>
        <v>9.33824</v>
      </c>
      <c r="G6" s="10"/>
      <c r="H6" s="10"/>
      <c r="I6" s="10"/>
      <c r="J6" s="8">
        <f t="shared" si="0"/>
        <v>0</v>
      </c>
      <c r="K6" s="26"/>
      <c r="L6" s="26"/>
      <c r="M6" s="26"/>
      <c r="N6" s="26"/>
      <c r="O6" s="26"/>
      <c r="P6" s="26">
        <f t="shared" si="1"/>
        <v>0</v>
      </c>
      <c r="R6" s="31" t="s">
        <v>36</v>
      </c>
      <c r="S6" s="32">
        <v>4.045</v>
      </c>
      <c r="T6" s="28">
        <f>5.165</f>
        <v>5.165</v>
      </c>
      <c r="U6" s="28">
        <v>13</v>
      </c>
      <c r="V6" s="28"/>
      <c r="W6" s="30"/>
      <c r="X6" s="30">
        <v>8.8</v>
      </c>
      <c r="Y6" s="28">
        <f t="shared" si="2"/>
        <v>0.41</v>
      </c>
      <c r="Z6" s="26"/>
      <c r="AA6" s="26"/>
    </row>
    <row r="7" s="2" customFormat="1" ht="18" customHeight="1" spans="1:27">
      <c r="A7" s="12" t="s">
        <v>37</v>
      </c>
      <c r="B7" s="8" t="s">
        <v>38</v>
      </c>
      <c r="C7" s="8" t="s">
        <v>32</v>
      </c>
      <c r="D7" s="8">
        <v>0</v>
      </c>
      <c r="E7" s="8">
        <f>2.3976+2.466</f>
        <v>4.8636</v>
      </c>
      <c r="F7" s="10">
        <f>2.3976</f>
        <v>2.3976</v>
      </c>
      <c r="G7" s="10"/>
      <c r="H7" s="10"/>
      <c r="I7" s="10"/>
      <c r="J7" s="8">
        <f t="shared" si="0"/>
        <v>2.466</v>
      </c>
      <c r="K7" s="26">
        <v>2.466</v>
      </c>
      <c r="L7" s="26"/>
      <c r="M7" s="26"/>
      <c r="N7" s="26"/>
      <c r="O7" s="26"/>
      <c r="P7" s="26">
        <f t="shared" si="1"/>
        <v>2.466</v>
      </c>
      <c r="R7" s="31" t="s">
        <v>39</v>
      </c>
      <c r="S7" s="28">
        <v>0</v>
      </c>
      <c r="T7" s="28"/>
      <c r="U7" s="28"/>
      <c r="V7" s="28"/>
      <c r="W7" s="28"/>
      <c r="X7" s="28"/>
      <c r="Y7" s="28">
        <f t="shared" si="2"/>
        <v>0</v>
      </c>
      <c r="Z7" s="26" t="s">
        <v>40</v>
      </c>
      <c r="AA7" s="26"/>
    </row>
    <row r="8" s="2" customFormat="1" ht="18" customHeight="1" spans="1:27">
      <c r="A8" s="12" t="s">
        <v>37</v>
      </c>
      <c r="B8" s="8" t="s">
        <v>41</v>
      </c>
      <c r="C8" s="8" t="s">
        <v>32</v>
      </c>
      <c r="D8" s="8">
        <v>0</v>
      </c>
      <c r="E8" s="8">
        <f>0.063</f>
        <v>0.063</v>
      </c>
      <c r="F8" s="10"/>
      <c r="G8" s="10"/>
      <c r="H8" s="10"/>
      <c r="I8" s="10"/>
      <c r="J8" s="8">
        <f t="shared" si="0"/>
        <v>0.063</v>
      </c>
      <c r="K8" s="26">
        <v>0.063</v>
      </c>
      <c r="L8" s="26"/>
      <c r="M8" s="26"/>
      <c r="N8" s="26"/>
      <c r="O8" s="26"/>
      <c r="P8" s="26">
        <f t="shared" si="1"/>
        <v>0.063</v>
      </c>
      <c r="R8" s="11" t="s">
        <v>42</v>
      </c>
      <c r="S8" s="33">
        <v>0</v>
      </c>
      <c r="T8" s="34">
        <v>0.7</v>
      </c>
      <c r="U8" s="34"/>
      <c r="V8" s="34">
        <v>0.7</v>
      </c>
      <c r="W8" s="34"/>
      <c r="X8" s="34"/>
      <c r="Y8" s="28">
        <f t="shared" si="2"/>
        <v>0</v>
      </c>
      <c r="Z8" s="26" t="s">
        <v>43</v>
      </c>
      <c r="AA8" s="26" t="s">
        <v>10</v>
      </c>
    </row>
    <row r="9" s="2" customFormat="1" ht="18" customHeight="1" spans="1:27">
      <c r="A9" s="9" t="s">
        <v>44</v>
      </c>
      <c r="B9" s="8" t="s">
        <v>45</v>
      </c>
      <c r="C9" s="8" t="s">
        <v>32</v>
      </c>
      <c r="D9" s="8">
        <v>0.23736</v>
      </c>
      <c r="E9" s="8">
        <f>4.774</f>
        <v>4.774</v>
      </c>
      <c r="F9" s="10">
        <f>0.23736</f>
        <v>0.23736</v>
      </c>
      <c r="G9" s="10"/>
      <c r="H9" s="10"/>
      <c r="I9" s="10"/>
      <c r="J9" s="8">
        <f t="shared" si="0"/>
        <v>4.774</v>
      </c>
      <c r="K9" s="26">
        <v>4.774</v>
      </c>
      <c r="L9" s="26"/>
      <c r="M9" s="26"/>
      <c r="N9" s="26"/>
      <c r="O9" s="26"/>
      <c r="P9" s="26">
        <f t="shared" si="1"/>
        <v>4.774</v>
      </c>
      <c r="R9" s="11" t="s">
        <v>46</v>
      </c>
      <c r="S9" s="8">
        <v>0</v>
      </c>
      <c r="T9" s="34">
        <v>0.32</v>
      </c>
      <c r="U9" s="34"/>
      <c r="V9" s="34">
        <v>0.32</v>
      </c>
      <c r="W9" s="34"/>
      <c r="X9" s="26"/>
      <c r="Y9" s="28">
        <f t="shared" si="2"/>
        <v>0</v>
      </c>
      <c r="Z9" s="26" t="s">
        <v>47</v>
      </c>
      <c r="AA9" s="26" t="s">
        <v>10</v>
      </c>
    </row>
    <row r="10" s="2" customFormat="1" ht="18" customHeight="1" spans="1:27">
      <c r="A10" s="9" t="s">
        <v>48</v>
      </c>
      <c r="B10" s="8" t="s">
        <v>49</v>
      </c>
      <c r="C10" s="8" t="s">
        <v>32</v>
      </c>
      <c r="D10" s="8">
        <v>0</v>
      </c>
      <c r="E10" s="8">
        <f>19.16</f>
        <v>19.16</v>
      </c>
      <c r="F10" s="10">
        <f>19.16</f>
        <v>19.16</v>
      </c>
      <c r="G10" s="10"/>
      <c r="H10" s="10"/>
      <c r="I10" s="10"/>
      <c r="J10" s="8">
        <f t="shared" si="0"/>
        <v>0</v>
      </c>
      <c r="K10" s="26"/>
      <c r="L10" s="26"/>
      <c r="M10" s="26"/>
      <c r="N10" s="26"/>
      <c r="O10" s="26"/>
      <c r="P10" s="26">
        <f t="shared" si="1"/>
        <v>0</v>
      </c>
      <c r="R10" s="11" t="s">
        <v>50</v>
      </c>
      <c r="S10" s="33">
        <v>0</v>
      </c>
      <c r="T10" s="34">
        <v>0.85</v>
      </c>
      <c r="U10" s="34"/>
      <c r="V10" s="34">
        <v>0.85</v>
      </c>
      <c r="W10" s="34"/>
      <c r="X10" s="26"/>
      <c r="Y10" s="28">
        <f t="shared" si="2"/>
        <v>0</v>
      </c>
      <c r="Z10" s="26" t="s">
        <v>51</v>
      </c>
      <c r="AA10" s="26" t="s">
        <v>10</v>
      </c>
    </row>
    <row r="11" s="2" customFormat="1" ht="18" customHeight="1" spans="1:27">
      <c r="A11" s="13" t="s">
        <v>52</v>
      </c>
      <c r="B11" s="8" t="s">
        <v>53</v>
      </c>
      <c r="C11" s="8" t="s">
        <v>32</v>
      </c>
      <c r="D11" s="8">
        <v>0</v>
      </c>
      <c r="E11" s="8">
        <f>0.23842</f>
        <v>0.23842</v>
      </c>
      <c r="F11" s="10">
        <f>0.23842</f>
        <v>0.23842</v>
      </c>
      <c r="G11" s="10"/>
      <c r="H11" s="10"/>
      <c r="I11" s="10"/>
      <c r="J11" s="8">
        <f t="shared" si="0"/>
        <v>0</v>
      </c>
      <c r="K11" s="26"/>
      <c r="L11" s="26"/>
      <c r="M11" s="26"/>
      <c r="N11" s="26"/>
      <c r="O11" s="26"/>
      <c r="P11" s="26">
        <f t="shared" si="1"/>
        <v>0</v>
      </c>
      <c r="R11" s="11" t="s">
        <v>54</v>
      </c>
      <c r="S11" s="8">
        <v>0</v>
      </c>
      <c r="T11" s="34">
        <v>0.52</v>
      </c>
      <c r="U11" s="34"/>
      <c r="V11" s="34">
        <v>0.52</v>
      </c>
      <c r="W11" s="34"/>
      <c r="X11" s="26"/>
      <c r="Y11" s="28">
        <f t="shared" si="2"/>
        <v>0</v>
      </c>
      <c r="Z11" s="26" t="s">
        <v>55</v>
      </c>
      <c r="AA11" s="26" t="s">
        <v>10</v>
      </c>
    </row>
    <row r="12" s="2" customFormat="1" ht="18" customHeight="1" spans="1:27">
      <c r="A12" s="12" t="s">
        <v>56</v>
      </c>
      <c r="B12" s="8" t="s">
        <v>57</v>
      </c>
      <c r="C12" s="8" t="s">
        <v>29</v>
      </c>
      <c r="D12" s="8">
        <v>0</v>
      </c>
      <c r="E12" s="8">
        <f>0.27+0.318985+0.3</f>
        <v>0.888985</v>
      </c>
      <c r="F12" s="10">
        <f>0.318985</f>
        <v>0.318985</v>
      </c>
      <c r="G12" s="10">
        <f>0.27</f>
        <v>0.27</v>
      </c>
      <c r="H12" s="10"/>
      <c r="I12" s="10"/>
      <c r="J12" s="8">
        <f t="shared" si="0"/>
        <v>0.3</v>
      </c>
      <c r="K12" s="26"/>
      <c r="L12" s="26">
        <v>0.3</v>
      </c>
      <c r="M12" s="26"/>
      <c r="N12" s="26"/>
      <c r="O12" s="26"/>
      <c r="P12" s="26">
        <f t="shared" si="1"/>
        <v>0.3</v>
      </c>
      <c r="R12" s="11" t="s">
        <v>58</v>
      </c>
      <c r="S12" s="33">
        <v>0</v>
      </c>
      <c r="T12" s="8"/>
      <c r="U12" s="8"/>
      <c r="V12" s="8"/>
      <c r="W12" s="8"/>
      <c r="X12" s="26"/>
      <c r="Y12" s="28">
        <f t="shared" si="2"/>
        <v>0</v>
      </c>
      <c r="Z12" s="26" t="s">
        <v>55</v>
      </c>
      <c r="AA12" s="26"/>
    </row>
    <row r="13" s="2" customFormat="1" ht="18" customHeight="1" spans="1:27">
      <c r="A13" s="12" t="s">
        <v>59</v>
      </c>
      <c r="B13" s="8" t="s">
        <v>57</v>
      </c>
      <c r="C13" s="8" t="s">
        <v>32</v>
      </c>
      <c r="D13" s="8">
        <v>0</v>
      </c>
      <c r="E13" s="8">
        <f>1.3823+4+0.0049</f>
        <v>5.3872</v>
      </c>
      <c r="F13" s="10">
        <f>1.3823+4+0.0049</f>
        <v>5.3872</v>
      </c>
      <c r="G13" s="10"/>
      <c r="H13" s="10"/>
      <c r="I13" s="10"/>
      <c r="J13" s="8">
        <f t="shared" si="0"/>
        <v>0</v>
      </c>
      <c r="K13" s="26"/>
      <c r="L13" s="26"/>
      <c r="M13" s="26"/>
      <c r="N13" s="26"/>
      <c r="O13" s="26"/>
      <c r="P13" s="26">
        <f t="shared" si="1"/>
        <v>0</v>
      </c>
      <c r="R13" s="26" t="s">
        <v>60</v>
      </c>
      <c r="S13" s="34">
        <v>0</v>
      </c>
      <c r="T13" s="34">
        <v>2.6</v>
      </c>
      <c r="U13" s="34"/>
      <c r="V13" s="34">
        <v>2.6</v>
      </c>
      <c r="W13" s="34"/>
      <c r="X13" s="34"/>
      <c r="Y13" s="28">
        <f t="shared" si="2"/>
        <v>0</v>
      </c>
      <c r="Z13" s="26" t="s">
        <v>61</v>
      </c>
      <c r="AA13" s="26" t="s">
        <v>10</v>
      </c>
    </row>
    <row r="14" s="2" customFormat="1" ht="18" customHeight="1" spans="1:27">
      <c r="A14" s="12" t="s">
        <v>62</v>
      </c>
      <c r="B14" s="8" t="s">
        <v>63</v>
      </c>
      <c r="C14" s="8" t="s">
        <v>64</v>
      </c>
      <c r="D14" s="8">
        <v>16.28</v>
      </c>
      <c r="E14" s="8"/>
      <c r="F14" s="10">
        <f>16.28</f>
        <v>16.28</v>
      </c>
      <c r="G14" s="10"/>
      <c r="H14" s="10"/>
      <c r="I14" s="10"/>
      <c r="J14" s="8">
        <f t="shared" si="0"/>
        <v>0</v>
      </c>
      <c r="K14" s="26"/>
      <c r="L14" s="26"/>
      <c r="M14" s="26"/>
      <c r="N14" s="26"/>
      <c r="O14" s="26"/>
      <c r="P14" s="26">
        <f t="shared" si="1"/>
        <v>0</v>
      </c>
      <c r="R14" s="26" t="s">
        <v>65</v>
      </c>
      <c r="S14" s="34">
        <v>0</v>
      </c>
      <c r="T14" s="34"/>
      <c r="U14" s="34"/>
      <c r="V14" s="34"/>
      <c r="W14" s="34"/>
      <c r="X14" s="34"/>
      <c r="Y14" s="28">
        <f t="shared" si="2"/>
        <v>0</v>
      </c>
      <c r="Z14" s="26" t="s">
        <v>66</v>
      </c>
      <c r="AA14" s="26"/>
    </row>
    <row r="15" s="2" customFormat="1" ht="18" customHeight="1" spans="1:16">
      <c r="A15" s="12" t="s">
        <v>67</v>
      </c>
      <c r="B15" s="8" t="s">
        <v>68</v>
      </c>
      <c r="C15" s="8" t="s">
        <v>29</v>
      </c>
      <c r="D15" s="8">
        <v>163.3965</v>
      </c>
      <c r="E15" s="8">
        <f>2.6+5.67+30.39+10.101+4.662</f>
        <v>53.423</v>
      </c>
      <c r="F15" s="10">
        <f>0.005+0.005+3.754+4.8395+0.002+0.004+21.03+4.9505+15+15.94+10+18.14</f>
        <v>93.67</v>
      </c>
      <c r="G15" s="10">
        <f>2+5.0995+1.501+12.76</f>
        <v>21.3605</v>
      </c>
      <c r="H15" s="10"/>
      <c r="I15" s="10"/>
      <c r="J15" s="8">
        <f t="shared" si="0"/>
        <v>101.789</v>
      </c>
      <c r="K15" s="26"/>
      <c r="L15" s="26">
        <v>101.789</v>
      </c>
      <c r="M15" s="26"/>
      <c r="N15" s="26"/>
      <c r="O15" s="26"/>
      <c r="P15" s="26">
        <f t="shared" si="1"/>
        <v>101.789</v>
      </c>
    </row>
    <row r="16" s="2" customFormat="1" ht="18" customHeight="1" spans="1:16">
      <c r="A16" s="9" t="s">
        <v>69</v>
      </c>
      <c r="B16" s="8" t="s">
        <v>68</v>
      </c>
      <c r="C16" s="8" t="s">
        <v>32</v>
      </c>
      <c r="D16" s="8">
        <v>0</v>
      </c>
      <c r="E16" s="8">
        <f>0.03</f>
        <v>0.03</v>
      </c>
      <c r="F16" s="10">
        <f>0.03</f>
        <v>0.03</v>
      </c>
      <c r="G16" s="10"/>
      <c r="H16" s="10"/>
      <c r="I16" s="10"/>
      <c r="J16" s="8">
        <f t="shared" si="0"/>
        <v>0</v>
      </c>
      <c r="K16" s="26"/>
      <c r="L16" s="26"/>
      <c r="M16" s="26"/>
      <c r="N16" s="26"/>
      <c r="O16" s="26"/>
      <c r="P16" s="26">
        <f t="shared" si="1"/>
        <v>0</v>
      </c>
    </row>
    <row r="17" s="2" customFormat="1" ht="18" customHeight="1" spans="1:16">
      <c r="A17" s="11" t="s">
        <v>34</v>
      </c>
      <c r="B17" s="14" t="s">
        <v>70</v>
      </c>
      <c r="C17" s="8" t="s">
        <v>29</v>
      </c>
      <c r="D17" s="8">
        <v>78.4065</v>
      </c>
      <c r="E17" s="8">
        <f>0.8+3+0.16+10.98+2.247+2.994</f>
        <v>20.181</v>
      </c>
      <c r="F17" s="10">
        <f>2.61+10.98+0.61+1.797</f>
        <v>15.997</v>
      </c>
      <c r="G17" s="10">
        <f>32.5+6.94+22.59+11.04</f>
        <v>73.07</v>
      </c>
      <c r="H17" s="10"/>
      <c r="I17" s="10"/>
      <c r="J17" s="8">
        <f t="shared" si="0"/>
        <v>9.5205</v>
      </c>
      <c r="K17" s="26"/>
      <c r="L17" s="26">
        <v>9.5205</v>
      </c>
      <c r="M17" s="26"/>
      <c r="N17" s="26"/>
      <c r="O17" s="26"/>
      <c r="P17" s="26">
        <f t="shared" si="1"/>
        <v>9.5205</v>
      </c>
    </row>
    <row r="18" s="2" customFormat="1" ht="18" customHeight="1" spans="1:16">
      <c r="A18" s="9" t="s">
        <v>71</v>
      </c>
      <c r="B18" s="14" t="s">
        <v>72</v>
      </c>
      <c r="C18" s="8" t="s">
        <v>29</v>
      </c>
      <c r="D18" s="8">
        <v>4.5</v>
      </c>
      <c r="E18" s="8">
        <f>3.5</f>
        <v>3.5</v>
      </c>
      <c r="F18" s="10"/>
      <c r="G18" s="10"/>
      <c r="H18" s="10"/>
      <c r="I18" s="10"/>
      <c r="J18" s="8">
        <f t="shared" si="0"/>
        <v>8</v>
      </c>
      <c r="K18" s="26"/>
      <c r="L18" s="26">
        <v>8</v>
      </c>
      <c r="M18" s="26"/>
      <c r="N18" s="26"/>
      <c r="O18" s="26"/>
      <c r="P18" s="26">
        <f t="shared" si="1"/>
        <v>8</v>
      </c>
    </row>
    <row r="19" s="2" customFormat="1" ht="18" customHeight="1" spans="1:16">
      <c r="A19" s="9" t="s">
        <v>73</v>
      </c>
      <c r="B19" s="14" t="s">
        <v>72</v>
      </c>
      <c r="C19" s="8" t="s">
        <v>32</v>
      </c>
      <c r="D19" s="8">
        <v>0.03835</v>
      </c>
      <c r="E19" s="8">
        <f>0.02+0.105</f>
        <v>0.125</v>
      </c>
      <c r="F19" s="10">
        <f>0.03835+0.02</f>
        <v>0.05835</v>
      </c>
      <c r="G19" s="10"/>
      <c r="H19" s="10"/>
      <c r="I19" s="10"/>
      <c r="J19" s="8">
        <f t="shared" si="0"/>
        <v>0.105</v>
      </c>
      <c r="K19" s="26"/>
      <c r="L19" s="26">
        <v>0.105</v>
      </c>
      <c r="M19" s="26"/>
      <c r="N19" s="26"/>
      <c r="O19" s="26"/>
      <c r="P19" s="26">
        <f t="shared" si="1"/>
        <v>0.105</v>
      </c>
    </row>
    <row r="20" s="2" customFormat="1" ht="18" customHeight="1" spans="1:16">
      <c r="A20" s="9" t="s">
        <v>34</v>
      </c>
      <c r="B20" s="14" t="s">
        <v>74</v>
      </c>
      <c r="C20" s="8" t="s">
        <v>29</v>
      </c>
      <c r="D20" s="8">
        <v>205.6905</v>
      </c>
      <c r="E20" s="8">
        <f>26.1535+16.615</f>
        <v>42.7685</v>
      </c>
      <c r="F20" s="10">
        <f>25.25+7.23+10+10.248+12+31.14+20+24.53+10.026</f>
        <v>150.424</v>
      </c>
      <c r="G20" s="10"/>
      <c r="H20" s="10"/>
      <c r="I20" s="10"/>
      <c r="J20" s="8">
        <f t="shared" si="0"/>
        <v>98.035</v>
      </c>
      <c r="K20" s="26"/>
      <c r="L20" s="26">
        <v>98.035</v>
      </c>
      <c r="M20" s="26"/>
      <c r="N20" s="26"/>
      <c r="O20" s="26"/>
      <c r="P20" s="26">
        <f t="shared" si="1"/>
        <v>98.035</v>
      </c>
    </row>
    <row r="21" s="2" customFormat="1" ht="18" customHeight="1" spans="1:16">
      <c r="A21" s="9" t="s">
        <v>75</v>
      </c>
      <c r="B21" s="14" t="s">
        <v>76</v>
      </c>
      <c r="C21" s="8" t="s">
        <v>32</v>
      </c>
      <c r="D21" s="8">
        <v>75.62</v>
      </c>
      <c r="E21" s="8">
        <f>21.88+27.22+21.16+21.44+19.28+28.98+8.72</f>
        <v>148.68</v>
      </c>
      <c r="F21" s="10">
        <f>18.98+10+27.2+19.44+10+11.88+17+10.22</f>
        <v>124.72</v>
      </c>
      <c r="G21" s="10"/>
      <c r="H21" s="10"/>
      <c r="I21" s="10"/>
      <c r="J21" s="8">
        <f t="shared" si="0"/>
        <v>99.58</v>
      </c>
      <c r="K21" s="26"/>
      <c r="L21" s="26">
        <f>99.58-40</f>
        <v>59.58</v>
      </c>
      <c r="M21" s="26"/>
      <c r="N21" s="26"/>
      <c r="O21" s="26">
        <v>40</v>
      </c>
      <c r="P21" s="26">
        <f t="shared" si="1"/>
        <v>99.58</v>
      </c>
    </row>
    <row r="22" s="2" customFormat="1" ht="18" customHeight="1" spans="1:16">
      <c r="A22" s="9" t="s">
        <v>77</v>
      </c>
      <c r="B22" s="14" t="s">
        <v>78</v>
      </c>
      <c r="C22" s="8" t="s">
        <v>29</v>
      </c>
      <c r="D22" s="8">
        <v>252.57</v>
      </c>
      <c r="E22" s="8"/>
      <c r="F22" s="10">
        <f>30.16+23.72+15+29.12+23.75+9+11.07+20+11.22+10+10+6.66</f>
        <v>199.7</v>
      </c>
      <c r="G22" s="10">
        <f>21.57+5.6+6.99+15.51</f>
        <v>49.67</v>
      </c>
      <c r="H22" s="10"/>
      <c r="I22" s="10"/>
      <c r="J22" s="8">
        <f t="shared" si="0"/>
        <v>3.2</v>
      </c>
      <c r="K22" s="26"/>
      <c r="L22" s="26"/>
      <c r="M22" s="26"/>
      <c r="N22" s="26">
        <v>3.2</v>
      </c>
      <c r="O22" s="26"/>
      <c r="P22" s="26">
        <f t="shared" si="1"/>
        <v>3.2</v>
      </c>
    </row>
    <row r="23" s="2" customFormat="1" ht="18" customHeight="1" spans="1:16">
      <c r="A23" s="9" t="s">
        <v>79</v>
      </c>
      <c r="B23" s="15" t="s">
        <v>80</v>
      </c>
      <c r="C23" s="8" t="s">
        <v>32</v>
      </c>
      <c r="D23" s="8">
        <v>0</v>
      </c>
      <c r="E23" s="8">
        <f>0.9</f>
        <v>0.9</v>
      </c>
      <c r="F23" s="10">
        <f>0.9</f>
        <v>0.9</v>
      </c>
      <c r="G23" s="10"/>
      <c r="H23" s="10"/>
      <c r="I23" s="10"/>
      <c r="J23" s="8">
        <f t="shared" si="0"/>
        <v>0</v>
      </c>
      <c r="K23" s="26"/>
      <c r="L23" s="26"/>
      <c r="M23" s="26"/>
      <c r="N23" s="26"/>
      <c r="O23" s="26"/>
      <c r="P23" s="26">
        <f t="shared" si="1"/>
        <v>0</v>
      </c>
    </row>
    <row r="24" s="2" customFormat="1" ht="18" customHeight="1" spans="1:16">
      <c r="A24" s="9" t="s">
        <v>81</v>
      </c>
      <c r="B24" s="14" t="s">
        <v>82</v>
      </c>
      <c r="C24" s="8" t="s">
        <v>64</v>
      </c>
      <c r="D24" s="8">
        <v>73.26</v>
      </c>
      <c r="E24" s="8">
        <f>27.28</f>
        <v>27.28</v>
      </c>
      <c r="F24" s="10"/>
      <c r="G24" s="10"/>
      <c r="H24" s="10"/>
      <c r="I24" s="10"/>
      <c r="J24" s="8">
        <f t="shared" si="0"/>
        <v>100.54</v>
      </c>
      <c r="K24" s="26">
        <v>100.54</v>
      </c>
      <c r="L24" s="26"/>
      <c r="M24" s="26"/>
      <c r="N24" s="26"/>
      <c r="O24" s="26"/>
      <c r="P24" s="26">
        <f t="shared" si="1"/>
        <v>100.54</v>
      </c>
    </row>
    <row r="25" s="2" customFormat="1" ht="18" customHeight="1" spans="1:16">
      <c r="A25" s="9" t="s">
        <v>83</v>
      </c>
      <c r="B25" s="14" t="s">
        <v>84</v>
      </c>
      <c r="C25" s="8" t="s">
        <v>29</v>
      </c>
      <c r="D25" s="8">
        <v>0</v>
      </c>
      <c r="E25" s="8">
        <f>0.9915</f>
        <v>0.9915</v>
      </c>
      <c r="F25" s="10"/>
      <c r="G25" s="10"/>
      <c r="H25" s="10"/>
      <c r="I25" s="10"/>
      <c r="J25" s="8">
        <f t="shared" si="0"/>
        <v>0.9915</v>
      </c>
      <c r="K25" s="26"/>
      <c r="L25" s="26">
        <v>0.9915</v>
      </c>
      <c r="M25" s="26"/>
      <c r="N25" s="26"/>
      <c r="O25" s="26"/>
      <c r="P25" s="26">
        <f t="shared" si="1"/>
        <v>0.9915</v>
      </c>
    </row>
    <row r="26" s="2" customFormat="1" ht="18" customHeight="1" spans="1:16">
      <c r="A26" s="9" t="s">
        <v>85</v>
      </c>
      <c r="B26" s="8" t="s">
        <v>86</v>
      </c>
      <c r="C26" s="8" t="s">
        <v>32</v>
      </c>
      <c r="D26" s="8">
        <v>17.4845</v>
      </c>
      <c r="E26" s="8">
        <f>18.6+15.745</f>
        <v>34.345</v>
      </c>
      <c r="F26" s="10">
        <f>17.4845+18.6</f>
        <v>36.0845</v>
      </c>
      <c r="G26" s="10"/>
      <c r="H26" s="10"/>
      <c r="I26" s="10"/>
      <c r="J26" s="8">
        <f t="shared" si="0"/>
        <v>15.745</v>
      </c>
      <c r="K26" s="26"/>
      <c r="L26" s="26">
        <v>15.745</v>
      </c>
      <c r="M26" s="26"/>
      <c r="N26" s="26"/>
      <c r="O26" s="26"/>
      <c r="P26" s="26">
        <f t="shared" si="1"/>
        <v>15.745</v>
      </c>
    </row>
    <row r="27" s="2" customFormat="1" ht="18" customHeight="1" spans="1:16">
      <c r="A27" s="12" t="s">
        <v>87</v>
      </c>
      <c r="B27" s="8" t="s">
        <v>86</v>
      </c>
      <c r="C27" s="8" t="s">
        <v>29</v>
      </c>
      <c r="D27" s="8">
        <v>30.943</v>
      </c>
      <c r="E27" s="8">
        <f>9.88</f>
        <v>9.88</v>
      </c>
      <c r="F27" s="10">
        <f>6.34</f>
        <v>6.34</v>
      </c>
      <c r="G27" s="10">
        <f>9.42</f>
        <v>9.42</v>
      </c>
      <c r="H27" s="10"/>
      <c r="I27" s="10"/>
      <c r="J27" s="8">
        <f t="shared" si="0"/>
        <v>25.063</v>
      </c>
      <c r="K27" s="26">
        <v>25.063</v>
      </c>
      <c r="L27" s="26"/>
      <c r="M27" s="26"/>
      <c r="N27" s="26"/>
      <c r="O27" s="26"/>
      <c r="P27" s="26">
        <f t="shared" si="1"/>
        <v>25.063</v>
      </c>
    </row>
    <row r="28" s="2" customFormat="1" ht="18" customHeight="1" spans="1:16">
      <c r="A28" s="9" t="s">
        <v>88</v>
      </c>
      <c r="B28" s="8" t="s">
        <v>89</v>
      </c>
      <c r="C28" s="8" t="s">
        <v>29</v>
      </c>
      <c r="D28" s="8">
        <v>8.24</v>
      </c>
      <c r="E28" s="8"/>
      <c r="F28" s="10">
        <f>4.52</f>
        <v>4.52</v>
      </c>
      <c r="G28" s="10">
        <f>0.62</f>
        <v>0.62</v>
      </c>
      <c r="H28" s="10"/>
      <c r="I28" s="10"/>
      <c r="J28" s="8">
        <f t="shared" si="0"/>
        <v>3.1</v>
      </c>
      <c r="K28" s="26"/>
      <c r="L28" s="26">
        <v>1</v>
      </c>
      <c r="M28" s="26"/>
      <c r="N28" s="26">
        <v>2.1</v>
      </c>
      <c r="O28" s="26"/>
      <c r="P28" s="26">
        <f t="shared" si="1"/>
        <v>3.1</v>
      </c>
    </row>
    <row r="29" s="2" customFormat="1" ht="18" customHeight="1" spans="1:16">
      <c r="A29" s="11" t="s">
        <v>90</v>
      </c>
      <c r="B29" s="8" t="s">
        <v>91</v>
      </c>
      <c r="C29" s="8" t="s">
        <v>64</v>
      </c>
      <c r="D29" s="8">
        <v>5.318</v>
      </c>
      <c r="E29" s="8">
        <f>0.05+1.231+0.059</f>
        <v>1.34</v>
      </c>
      <c r="F29" s="10">
        <f>5.318+0.05</f>
        <v>5.368</v>
      </c>
      <c r="G29" s="10"/>
      <c r="H29" s="10"/>
      <c r="I29" s="10"/>
      <c r="J29" s="8">
        <f t="shared" si="0"/>
        <v>1.29</v>
      </c>
      <c r="K29" s="26">
        <v>1.29</v>
      </c>
      <c r="L29" s="26"/>
      <c r="M29" s="26"/>
      <c r="N29" s="26"/>
      <c r="O29" s="26"/>
      <c r="P29" s="26">
        <f t="shared" si="1"/>
        <v>1.29</v>
      </c>
    </row>
    <row r="30" s="2" customFormat="1" ht="18" customHeight="1" spans="1:16">
      <c r="A30" s="11" t="s">
        <v>92</v>
      </c>
      <c r="B30" s="8" t="s">
        <v>93</v>
      </c>
      <c r="C30" s="8" t="s">
        <v>64</v>
      </c>
      <c r="D30" s="8">
        <v>12.416</v>
      </c>
      <c r="E30" s="8">
        <f>26.35+0.74+4.208+26.98+28.027+3.35+2</f>
        <v>91.655</v>
      </c>
      <c r="F30" s="10">
        <f>3.416+0.74+9</f>
        <v>13.156</v>
      </c>
      <c r="G30" s="10"/>
      <c r="H30" s="10"/>
      <c r="I30" s="10"/>
      <c r="J30" s="8">
        <f t="shared" si="0"/>
        <v>90.915</v>
      </c>
      <c r="K30" s="26">
        <v>2.507</v>
      </c>
      <c r="L30" s="26">
        <v>88.408</v>
      </c>
      <c r="M30" s="26"/>
      <c r="N30" s="26"/>
      <c r="O30" s="26"/>
      <c r="P30" s="26">
        <f t="shared" si="1"/>
        <v>90.915</v>
      </c>
    </row>
    <row r="31" s="2" customFormat="1" ht="18" customHeight="1" spans="1:16">
      <c r="A31" s="16" t="s">
        <v>94</v>
      </c>
      <c r="B31" s="8" t="s">
        <v>93</v>
      </c>
      <c r="C31" s="8" t="s">
        <v>29</v>
      </c>
      <c r="D31" s="4">
        <v>64.96</v>
      </c>
      <c r="E31" s="4"/>
      <c r="F31" s="10">
        <f>6.76+4.94+6.34+3.6+2.82</f>
        <v>24.46</v>
      </c>
      <c r="G31" s="10"/>
      <c r="H31" s="10"/>
      <c r="I31" s="10"/>
      <c r="J31" s="8">
        <f t="shared" si="0"/>
        <v>40.5</v>
      </c>
      <c r="K31" s="26">
        <v>5.82</v>
      </c>
      <c r="L31" s="26">
        <v>29.78</v>
      </c>
      <c r="M31" s="26"/>
      <c r="N31" s="26">
        <v>4.9</v>
      </c>
      <c r="O31" s="26"/>
      <c r="P31" s="26">
        <f t="shared" si="1"/>
        <v>40.5</v>
      </c>
    </row>
    <row r="32" s="2" customFormat="1" ht="18" customHeight="1" spans="1:16">
      <c r="A32" s="11" t="s">
        <v>95</v>
      </c>
      <c r="B32" s="8" t="s">
        <v>93</v>
      </c>
      <c r="C32" s="8" t="s">
        <v>32</v>
      </c>
      <c r="D32" s="4">
        <v>105.287</v>
      </c>
      <c r="E32" s="4">
        <f>11.669+4.858+3.96+0.08+11.3585</f>
        <v>31.9255</v>
      </c>
      <c r="F32" s="10">
        <f>6.447+11.669+0.7+4.858</f>
        <v>23.674</v>
      </c>
      <c r="G32" s="10"/>
      <c r="H32" s="10"/>
      <c r="I32" s="10"/>
      <c r="J32" s="8">
        <f t="shared" si="0"/>
        <v>113.5385</v>
      </c>
      <c r="K32" s="26">
        <v>26.42</v>
      </c>
      <c r="L32" s="26">
        <v>87.1185</v>
      </c>
      <c r="M32" s="26"/>
      <c r="N32" s="26"/>
      <c r="O32" s="26"/>
      <c r="P32" s="26">
        <f t="shared" si="1"/>
        <v>113.5385</v>
      </c>
    </row>
    <row r="33" s="2" customFormat="1" ht="18" customHeight="1" spans="1:16">
      <c r="A33" s="12" t="s">
        <v>96</v>
      </c>
      <c r="B33" s="14" t="s">
        <v>97</v>
      </c>
      <c r="C33" s="8" t="s">
        <v>29</v>
      </c>
      <c r="D33" s="8">
        <v>86.58425</v>
      </c>
      <c r="E33" s="8">
        <f>0.01+0.43+0.1+0.0127+1.001+0.6054+0.106+1.644+0.905+3.5807+0.1995</f>
        <v>8.5943</v>
      </c>
      <c r="F33" s="10">
        <f>0.05</f>
        <v>0.05</v>
      </c>
      <c r="G33" s="10">
        <f>0.3934+0.275+2.38+0.823</f>
        <v>3.8714</v>
      </c>
      <c r="H33" s="10"/>
      <c r="I33" s="10"/>
      <c r="J33" s="8">
        <f t="shared" si="0"/>
        <v>91.25715</v>
      </c>
      <c r="K33" s="26">
        <v>24.2</v>
      </c>
      <c r="L33" s="26"/>
      <c r="M33" s="26"/>
      <c r="N33" s="26">
        <v>67.05715</v>
      </c>
      <c r="O33" s="26"/>
      <c r="P33" s="26">
        <f t="shared" si="1"/>
        <v>91.25715</v>
      </c>
    </row>
    <row r="34" s="2" customFormat="1" ht="18" customHeight="1" spans="1:16">
      <c r="A34" s="11" t="s">
        <v>96</v>
      </c>
      <c r="B34" s="17" t="s">
        <v>98</v>
      </c>
      <c r="C34" s="8" t="s">
        <v>29</v>
      </c>
      <c r="D34" s="8">
        <v>91.1979</v>
      </c>
      <c r="E34" s="8">
        <f>0.1+2+1.33+0.3+0.7121+4.2076+3.11</f>
        <v>11.7597</v>
      </c>
      <c r="F34" s="10"/>
      <c r="G34" s="10">
        <f>5.05+2.72+14.052+0.85+1.2</f>
        <v>23.872</v>
      </c>
      <c r="H34" s="10"/>
      <c r="I34" s="10"/>
      <c r="J34" s="8">
        <f t="shared" si="0"/>
        <v>79.0856</v>
      </c>
      <c r="K34" s="26"/>
      <c r="L34" s="26"/>
      <c r="M34" s="26"/>
      <c r="N34" s="26">
        <v>79.0856</v>
      </c>
      <c r="O34" s="26"/>
      <c r="P34" s="26">
        <f t="shared" si="1"/>
        <v>79.0856</v>
      </c>
    </row>
    <row r="35" s="2" customFormat="1" ht="18" customHeight="1" spans="1:16">
      <c r="A35" s="11" t="s">
        <v>99</v>
      </c>
      <c r="B35" s="14" t="s">
        <v>100</v>
      </c>
      <c r="C35" s="8" t="s">
        <v>29</v>
      </c>
      <c r="D35" s="8">
        <v>35.883</v>
      </c>
      <c r="E35" s="8">
        <f>0.008+0.55+0.1+0.99104+3.28+5.08+0.48</f>
        <v>10.48904</v>
      </c>
      <c r="F35" s="10"/>
      <c r="G35" s="10">
        <f>1.98+4.18</f>
        <v>6.16</v>
      </c>
      <c r="H35" s="10"/>
      <c r="I35" s="10"/>
      <c r="J35" s="8">
        <f t="shared" si="0"/>
        <v>40.21204</v>
      </c>
      <c r="K35" s="26"/>
      <c r="L35" s="26"/>
      <c r="M35" s="26"/>
      <c r="N35" s="26">
        <v>40.21204</v>
      </c>
      <c r="O35" s="26"/>
      <c r="P35" s="26">
        <f t="shared" si="1"/>
        <v>40.21204</v>
      </c>
    </row>
    <row r="36" s="2" customFormat="1" ht="18" customHeight="1" spans="1:16">
      <c r="A36" s="9" t="s">
        <v>101</v>
      </c>
      <c r="B36" s="14" t="s">
        <v>100</v>
      </c>
      <c r="C36" s="8" t="s">
        <v>32</v>
      </c>
      <c r="D36" s="8">
        <v>0</v>
      </c>
      <c r="E36" s="8">
        <f>0.03</f>
        <v>0.03</v>
      </c>
      <c r="F36" s="10">
        <f>0.03</f>
        <v>0.03</v>
      </c>
      <c r="G36" s="10"/>
      <c r="H36" s="10"/>
      <c r="I36" s="10"/>
      <c r="J36" s="8">
        <f t="shared" si="0"/>
        <v>0</v>
      </c>
      <c r="K36" s="26"/>
      <c r="L36" s="26"/>
      <c r="M36" s="26"/>
      <c r="N36" s="26"/>
      <c r="O36" s="26"/>
      <c r="P36" s="26">
        <f t="shared" si="1"/>
        <v>0</v>
      </c>
    </row>
    <row r="37" s="2" customFormat="1" ht="18" customHeight="1" spans="1:16">
      <c r="A37" s="11" t="s">
        <v>102</v>
      </c>
      <c r="B37" s="14" t="s">
        <v>103</v>
      </c>
      <c r="C37" s="8" t="s">
        <v>29</v>
      </c>
      <c r="D37" s="8">
        <v>13.76</v>
      </c>
      <c r="E37" s="8">
        <f>0.793+1.06+1.7+0.68+0.05+0.4</f>
        <v>4.683</v>
      </c>
      <c r="F37" s="10"/>
      <c r="G37" s="10"/>
      <c r="H37" s="10"/>
      <c r="I37" s="10"/>
      <c r="J37" s="8">
        <f t="shared" si="0"/>
        <v>18.443</v>
      </c>
      <c r="K37" s="26"/>
      <c r="L37" s="26"/>
      <c r="M37" s="26"/>
      <c r="N37" s="26">
        <v>18.443</v>
      </c>
      <c r="O37" s="26"/>
      <c r="P37" s="26">
        <f t="shared" si="1"/>
        <v>18.443</v>
      </c>
    </row>
    <row r="38" s="2" customFormat="1" ht="18" customHeight="1" spans="1:16">
      <c r="A38" s="18" t="s">
        <v>104</v>
      </c>
      <c r="B38" s="14" t="s">
        <v>105</v>
      </c>
      <c r="C38" s="8" t="s">
        <v>29</v>
      </c>
      <c r="D38" s="8">
        <v>3.4</v>
      </c>
      <c r="E38" s="8">
        <f>15.12</f>
        <v>15.12</v>
      </c>
      <c r="F38" s="10"/>
      <c r="G38" s="10">
        <f>2.6</f>
        <v>2.6</v>
      </c>
      <c r="H38" s="10"/>
      <c r="I38" s="10"/>
      <c r="J38" s="8">
        <f t="shared" si="0"/>
        <v>15.92</v>
      </c>
      <c r="K38" s="26"/>
      <c r="L38" s="26"/>
      <c r="M38" s="26"/>
      <c r="N38" s="26">
        <v>15.92</v>
      </c>
      <c r="O38" s="26"/>
      <c r="P38" s="26">
        <f t="shared" si="1"/>
        <v>15.92</v>
      </c>
    </row>
    <row r="39" s="2" customFormat="1" ht="18" customHeight="1" spans="1:16">
      <c r="A39" s="11" t="s">
        <v>96</v>
      </c>
      <c r="B39" s="14" t="s">
        <v>106</v>
      </c>
      <c r="C39" s="8" t="s">
        <v>29</v>
      </c>
      <c r="D39" s="8">
        <v>219.52744</v>
      </c>
      <c r="E39" s="8">
        <f>0.88+4.487+1.15+1.24+0.15+4.462+4.54+0.02+2.019+0.578+0.1+13.1311+6.76982+1.12</f>
        <v>40.64692</v>
      </c>
      <c r="F39" s="10">
        <f>6.42+1.24+6.2</f>
        <v>13.86</v>
      </c>
      <c r="G39" s="10">
        <f>0.4+9.6129+5.5525+17.1+16.86+22.42+5.66</f>
        <v>77.6054</v>
      </c>
      <c r="H39" s="10"/>
      <c r="I39" s="10"/>
      <c r="J39" s="8">
        <f t="shared" si="0"/>
        <v>168.70896</v>
      </c>
      <c r="K39" s="26">
        <v>3.64</v>
      </c>
      <c r="L39" s="26">
        <v>24.2935</v>
      </c>
      <c r="M39" s="26"/>
      <c r="N39" s="26">
        <v>140.77546</v>
      </c>
      <c r="O39" s="26"/>
      <c r="P39" s="26">
        <f t="shared" si="1"/>
        <v>168.70896</v>
      </c>
    </row>
    <row r="40" s="2" customFormat="1" ht="18" customHeight="1" spans="1:16">
      <c r="A40" s="11" t="s">
        <v>107</v>
      </c>
      <c r="B40" s="14" t="s">
        <v>106</v>
      </c>
      <c r="C40" s="8" t="s">
        <v>32</v>
      </c>
      <c r="D40" s="8">
        <v>18.803</v>
      </c>
      <c r="E40" s="8">
        <f>16.46+0.01+0.14+2.76+0.085+0.24+2.01+0.101+0.459+0.001+1.4939+0.166+2.071+0.8742</f>
        <v>26.8711</v>
      </c>
      <c r="F40" s="10">
        <f>0.305+0.03+0.015+10.133+7.802+3.451+0.02+8.795+4.59+2.76+0.02+0.26+1.805+0.101+0.314+0.02+0.3</f>
        <v>40.721</v>
      </c>
      <c r="G40" s="10"/>
      <c r="H40" s="10"/>
      <c r="I40" s="10"/>
      <c r="J40" s="8">
        <f t="shared" si="0"/>
        <v>4.95310000000002</v>
      </c>
      <c r="K40" s="26">
        <v>4.5569</v>
      </c>
      <c r="L40" s="26">
        <v>0.3962</v>
      </c>
      <c r="M40" s="26"/>
      <c r="N40" s="26"/>
      <c r="O40" s="26"/>
      <c r="P40" s="26">
        <f t="shared" si="1"/>
        <v>4.9531</v>
      </c>
    </row>
    <row r="41" s="2" customFormat="1" ht="18" customHeight="1" spans="1:16">
      <c r="A41" s="11" t="s">
        <v>108</v>
      </c>
      <c r="B41" s="14" t="s">
        <v>106</v>
      </c>
      <c r="C41" s="8" t="s">
        <v>64</v>
      </c>
      <c r="D41" s="8">
        <v>7.26</v>
      </c>
      <c r="E41" s="8">
        <f>1.5+2.05</f>
        <v>3.55</v>
      </c>
      <c r="F41" s="10"/>
      <c r="G41" s="10"/>
      <c r="H41" s="10"/>
      <c r="I41" s="10"/>
      <c r="J41" s="8">
        <f t="shared" si="0"/>
        <v>10.81</v>
      </c>
      <c r="K41" s="26">
        <v>10.81</v>
      </c>
      <c r="L41" s="26"/>
      <c r="M41" s="26"/>
      <c r="N41" s="26"/>
      <c r="O41" s="26"/>
      <c r="P41" s="26">
        <f t="shared" si="1"/>
        <v>10.81</v>
      </c>
    </row>
    <row r="42" s="2" customFormat="1" ht="18" customHeight="1" spans="1:16">
      <c r="A42" s="19" t="s">
        <v>109</v>
      </c>
      <c r="B42" s="8" t="s">
        <v>110</v>
      </c>
      <c r="C42" s="8" t="s">
        <v>29</v>
      </c>
      <c r="D42" s="8">
        <v>34.898</v>
      </c>
      <c r="E42" s="8">
        <f>0.7458+3+2.468+0.13+7.27+0.9+0.418</f>
        <v>14.9318</v>
      </c>
      <c r="F42" s="10">
        <f>2.329+2.084+3.182</f>
        <v>7.595</v>
      </c>
      <c r="G42" s="10">
        <f>2.8+2.3+0.313+0.2</f>
        <v>5.613</v>
      </c>
      <c r="H42" s="10"/>
      <c r="I42" s="10"/>
      <c r="J42" s="8">
        <f t="shared" si="0"/>
        <v>36.6218</v>
      </c>
      <c r="K42" s="26"/>
      <c r="L42" s="26">
        <v>36.6218</v>
      </c>
      <c r="M42" s="26"/>
      <c r="N42" s="26"/>
      <c r="O42" s="26"/>
      <c r="P42" s="26">
        <f t="shared" si="1"/>
        <v>36.6218</v>
      </c>
    </row>
    <row r="43" s="2" customFormat="1" ht="18" customHeight="1" spans="1:16">
      <c r="A43" s="11" t="s">
        <v>111</v>
      </c>
      <c r="B43" s="8" t="s">
        <v>110</v>
      </c>
      <c r="C43" s="8" t="s">
        <v>64</v>
      </c>
      <c r="D43" s="8">
        <v>17.2765</v>
      </c>
      <c r="E43" s="8"/>
      <c r="F43" s="10">
        <f>10.8</f>
        <v>10.8</v>
      </c>
      <c r="G43" s="10"/>
      <c r="H43" s="10"/>
      <c r="I43" s="10"/>
      <c r="J43" s="8">
        <f t="shared" si="0"/>
        <v>6.4765</v>
      </c>
      <c r="K43" s="26"/>
      <c r="L43" s="26">
        <v>6.4765</v>
      </c>
      <c r="M43" s="26"/>
      <c r="N43" s="26"/>
      <c r="O43" s="26"/>
      <c r="P43" s="26">
        <f t="shared" si="1"/>
        <v>6.4765</v>
      </c>
    </row>
    <row r="44" s="2" customFormat="1" ht="18" customHeight="1" spans="1:16">
      <c r="A44" s="9" t="s">
        <v>112</v>
      </c>
      <c r="B44" s="8" t="s">
        <v>110</v>
      </c>
      <c r="C44" s="8" t="s">
        <v>32</v>
      </c>
      <c r="D44" s="8">
        <v>0</v>
      </c>
      <c r="E44" s="8">
        <f>0.15</f>
        <v>0.15</v>
      </c>
      <c r="F44" s="10"/>
      <c r="G44" s="10"/>
      <c r="H44" s="10"/>
      <c r="I44" s="10"/>
      <c r="J44" s="8">
        <f t="shared" si="0"/>
        <v>0.15</v>
      </c>
      <c r="K44" s="26"/>
      <c r="L44" s="26">
        <v>0.15</v>
      </c>
      <c r="M44" s="26"/>
      <c r="N44" s="26"/>
      <c r="O44" s="26"/>
      <c r="P44" s="26">
        <f t="shared" si="1"/>
        <v>0.15</v>
      </c>
    </row>
    <row r="45" s="2" customFormat="1" ht="18" customHeight="1" spans="1:16">
      <c r="A45" s="11" t="s">
        <v>113</v>
      </c>
      <c r="B45" s="8" t="s">
        <v>114</v>
      </c>
      <c r="C45" s="8" t="s">
        <v>29</v>
      </c>
      <c r="D45" s="8">
        <v>0</v>
      </c>
      <c r="E45" s="8">
        <f>0.4</f>
        <v>0.4</v>
      </c>
      <c r="F45" s="10"/>
      <c r="G45" s="10"/>
      <c r="H45" s="10"/>
      <c r="I45" s="10"/>
      <c r="J45" s="8">
        <f t="shared" si="0"/>
        <v>0.4</v>
      </c>
      <c r="K45" s="26"/>
      <c r="L45" s="26">
        <v>0.4</v>
      </c>
      <c r="M45" s="26"/>
      <c r="N45" s="26"/>
      <c r="O45" s="26"/>
      <c r="P45" s="26">
        <f t="shared" si="1"/>
        <v>0.4</v>
      </c>
    </row>
    <row r="46" s="2" customFormat="1" ht="18" customHeight="1" spans="1:16">
      <c r="A46" s="11" t="s">
        <v>113</v>
      </c>
      <c r="B46" s="20" t="s">
        <v>115</v>
      </c>
      <c r="C46" s="8" t="s">
        <v>29</v>
      </c>
      <c r="D46" s="8">
        <v>102.4025</v>
      </c>
      <c r="E46" s="8">
        <f>0.981+1.44+7+12.88+0.054+13.36+0.05+8.29+2.86+8.15+0.575+19.0359</f>
        <v>74.6759</v>
      </c>
      <c r="F46" s="10">
        <f>0.05+5.08</f>
        <v>5.13</v>
      </c>
      <c r="G46" s="10">
        <f>21.8805+13+11.78+6.3325+16.5+8.3865</f>
        <v>77.8795</v>
      </c>
      <c r="H46" s="10"/>
      <c r="I46" s="10"/>
      <c r="J46" s="8">
        <f t="shared" si="0"/>
        <v>94.0689</v>
      </c>
      <c r="K46" s="26"/>
      <c r="L46" s="26">
        <v>94.0689</v>
      </c>
      <c r="M46" s="26"/>
      <c r="N46" s="26"/>
      <c r="O46" s="26"/>
      <c r="P46" s="26">
        <f t="shared" si="1"/>
        <v>94.0689</v>
      </c>
    </row>
    <row r="47" s="2" customFormat="1" ht="18" customHeight="1" spans="1:16">
      <c r="A47" s="11" t="s">
        <v>116</v>
      </c>
      <c r="B47" s="8" t="s">
        <v>115</v>
      </c>
      <c r="C47" s="8" t="s">
        <v>32</v>
      </c>
      <c r="D47" s="8">
        <v>0</v>
      </c>
      <c r="E47" s="8">
        <f>1.76+0.005+2.944</f>
        <v>4.709</v>
      </c>
      <c r="F47" s="10">
        <f>1.76+0.005</f>
        <v>1.765</v>
      </c>
      <c r="G47" s="10"/>
      <c r="H47" s="10"/>
      <c r="I47" s="10"/>
      <c r="J47" s="8">
        <f t="shared" si="0"/>
        <v>2.944</v>
      </c>
      <c r="K47" s="26"/>
      <c r="L47" s="26">
        <v>2.944</v>
      </c>
      <c r="M47" s="26"/>
      <c r="N47" s="26"/>
      <c r="O47" s="26"/>
      <c r="P47" s="26">
        <f t="shared" si="1"/>
        <v>2.944</v>
      </c>
    </row>
    <row r="48" s="2" customFormat="1" ht="18" customHeight="1" spans="1:16">
      <c r="A48" s="9" t="s">
        <v>117</v>
      </c>
      <c r="B48" s="8" t="s">
        <v>118</v>
      </c>
      <c r="C48" s="8" t="s">
        <v>64</v>
      </c>
      <c r="D48" s="8">
        <v>0</v>
      </c>
      <c r="E48" s="8">
        <v>27.8</v>
      </c>
      <c r="F48" s="10"/>
      <c r="G48" s="10"/>
      <c r="H48" s="10"/>
      <c r="I48" s="10"/>
      <c r="J48" s="8">
        <f t="shared" si="0"/>
        <v>27.8</v>
      </c>
      <c r="K48" s="26">
        <v>27.8</v>
      </c>
      <c r="L48" s="26"/>
      <c r="M48" s="26"/>
      <c r="N48" s="26"/>
      <c r="O48" s="26"/>
      <c r="P48" s="26">
        <f t="shared" si="1"/>
        <v>27.8</v>
      </c>
    </row>
    <row r="49" s="2" customFormat="1" ht="18" customHeight="1" spans="1:16">
      <c r="A49" s="9" t="s">
        <v>119</v>
      </c>
      <c r="B49" s="8" t="s">
        <v>120</v>
      </c>
      <c r="C49" s="8" t="s">
        <v>29</v>
      </c>
      <c r="D49" s="8">
        <v>68.22</v>
      </c>
      <c r="E49" s="8"/>
      <c r="F49" s="10"/>
      <c r="G49" s="10"/>
      <c r="H49" s="10"/>
      <c r="I49" s="10"/>
      <c r="J49" s="8">
        <f t="shared" si="0"/>
        <v>68.22</v>
      </c>
      <c r="K49" s="26"/>
      <c r="L49" s="26">
        <v>68.22</v>
      </c>
      <c r="M49" s="26"/>
      <c r="N49" s="26"/>
      <c r="O49" s="26"/>
      <c r="P49" s="26">
        <f t="shared" si="1"/>
        <v>68.22</v>
      </c>
    </row>
    <row r="50" s="2" customFormat="1" ht="18" customHeight="1" spans="1:16">
      <c r="A50" s="11" t="s">
        <v>121</v>
      </c>
      <c r="B50" s="14" t="s">
        <v>122</v>
      </c>
      <c r="C50" s="8" t="s">
        <v>32</v>
      </c>
      <c r="D50" s="8">
        <v>2.29</v>
      </c>
      <c r="E50" s="8"/>
      <c r="F50" s="10"/>
      <c r="G50" s="10"/>
      <c r="H50" s="10"/>
      <c r="I50" s="10"/>
      <c r="J50" s="8">
        <f t="shared" si="0"/>
        <v>2.29</v>
      </c>
      <c r="K50" s="26"/>
      <c r="L50" s="26">
        <v>2.29</v>
      </c>
      <c r="M50" s="26"/>
      <c r="N50" s="26"/>
      <c r="O50" s="26"/>
      <c r="P50" s="26">
        <f t="shared" si="1"/>
        <v>2.29</v>
      </c>
    </row>
    <row r="51" s="2" customFormat="1" ht="18" customHeight="1" spans="1:16">
      <c r="A51" s="11" t="s">
        <v>123</v>
      </c>
      <c r="B51" s="14" t="s">
        <v>122</v>
      </c>
      <c r="C51" s="8" t="s">
        <v>29</v>
      </c>
      <c r="D51" s="8">
        <v>84.907</v>
      </c>
      <c r="E51" s="8">
        <f>4+2.003+1.766-0.21</f>
        <v>7.559</v>
      </c>
      <c r="F51" s="10"/>
      <c r="G51" s="10"/>
      <c r="H51" s="10"/>
      <c r="I51" s="10"/>
      <c r="J51" s="8">
        <f t="shared" si="0"/>
        <v>92.466</v>
      </c>
      <c r="K51" s="26">
        <v>53.757</v>
      </c>
      <c r="L51" s="26">
        <v>38.709</v>
      </c>
      <c r="M51" s="26"/>
      <c r="N51" s="26"/>
      <c r="O51" s="26"/>
      <c r="P51" s="26">
        <f t="shared" si="1"/>
        <v>92.466</v>
      </c>
    </row>
    <row r="52" s="2" customFormat="1" ht="18" customHeight="1" spans="1:16">
      <c r="A52" s="11" t="s">
        <v>124</v>
      </c>
      <c r="B52" s="14" t="s">
        <v>122</v>
      </c>
      <c r="C52" s="8" t="s">
        <v>64</v>
      </c>
      <c r="D52" s="8">
        <v>531.5285</v>
      </c>
      <c r="E52" s="8">
        <f>0.18+41.4118+0.21</f>
        <v>41.8018</v>
      </c>
      <c r="F52" s="10">
        <f>11.417+11</f>
        <v>22.417</v>
      </c>
      <c r="G52" s="10"/>
      <c r="H52" s="10"/>
      <c r="I52" s="10"/>
      <c r="J52" s="8">
        <f t="shared" si="0"/>
        <v>550.9133</v>
      </c>
      <c r="K52" s="26">
        <v>550.9133</v>
      </c>
      <c r="L52" s="26"/>
      <c r="M52" s="26"/>
      <c r="N52" s="26"/>
      <c r="O52" s="26"/>
      <c r="P52" s="26">
        <f t="shared" si="1"/>
        <v>550.9133</v>
      </c>
    </row>
    <row r="53" s="2" customFormat="1" ht="18" customHeight="1" spans="1:16">
      <c r="A53" s="12" t="s">
        <v>123</v>
      </c>
      <c r="B53" s="14" t="s">
        <v>125</v>
      </c>
      <c r="C53" s="8" t="s">
        <v>29</v>
      </c>
      <c r="D53" s="8">
        <v>1422.58</v>
      </c>
      <c r="E53" s="8">
        <f>50.14+30.44+0.11</f>
        <v>80.69</v>
      </c>
      <c r="F53" s="10"/>
      <c r="G53" s="10"/>
      <c r="H53" s="10"/>
      <c r="I53" s="10"/>
      <c r="J53" s="8">
        <f t="shared" si="0"/>
        <v>1503.27</v>
      </c>
      <c r="K53" s="26">
        <v>0.11</v>
      </c>
      <c r="L53" s="26">
        <v>99.1</v>
      </c>
      <c r="M53" s="26"/>
      <c r="N53" s="26">
        <v>1404.06</v>
      </c>
      <c r="O53" s="26"/>
      <c r="P53" s="26">
        <f t="shared" si="1"/>
        <v>1503.27</v>
      </c>
    </row>
    <row r="54" s="2" customFormat="1" ht="18" customHeight="1" spans="1:16">
      <c r="A54" s="11" t="s">
        <v>58</v>
      </c>
      <c r="B54" s="14" t="s">
        <v>126</v>
      </c>
      <c r="C54" s="8" t="s">
        <v>32</v>
      </c>
      <c r="D54" s="8">
        <v>0</v>
      </c>
      <c r="E54" s="8">
        <f>13.12+14.704</f>
        <v>27.824</v>
      </c>
      <c r="F54" s="10">
        <f>13.12</f>
        <v>13.12</v>
      </c>
      <c r="G54" s="10"/>
      <c r="H54" s="10"/>
      <c r="I54" s="10"/>
      <c r="J54" s="8">
        <f t="shared" si="0"/>
        <v>14.704</v>
      </c>
      <c r="K54" s="26">
        <v>14.704</v>
      </c>
      <c r="L54" s="26"/>
      <c r="M54" s="26"/>
      <c r="N54" s="26"/>
      <c r="O54" s="26"/>
      <c r="P54" s="26">
        <f t="shared" si="1"/>
        <v>14.704</v>
      </c>
    </row>
    <row r="55" s="2" customFormat="1" ht="18" customHeight="1" spans="1:16">
      <c r="A55" s="11" t="s">
        <v>58</v>
      </c>
      <c r="B55" s="14" t="s">
        <v>126</v>
      </c>
      <c r="C55" s="8" t="s">
        <v>64</v>
      </c>
      <c r="D55" s="8">
        <v>0</v>
      </c>
      <c r="E55" s="8">
        <f>0.558+0.554</f>
        <v>1.112</v>
      </c>
      <c r="F55" s="10">
        <f>0.558</f>
        <v>0.558</v>
      </c>
      <c r="G55" s="10"/>
      <c r="H55" s="10"/>
      <c r="I55" s="10"/>
      <c r="J55" s="8">
        <f t="shared" si="0"/>
        <v>0.554</v>
      </c>
      <c r="K55" s="26">
        <v>0.554</v>
      </c>
      <c r="L55" s="26"/>
      <c r="M55" s="26"/>
      <c r="N55" s="26"/>
      <c r="O55" s="26"/>
      <c r="P55" s="26">
        <f t="shared" si="1"/>
        <v>0.554</v>
      </c>
    </row>
    <row r="56" s="2" customFormat="1" ht="18" customHeight="1" spans="1:16">
      <c r="A56" s="11" t="s">
        <v>127</v>
      </c>
      <c r="B56" s="14" t="s">
        <v>128</v>
      </c>
      <c r="C56" s="8" t="s">
        <v>32</v>
      </c>
      <c r="D56" s="8">
        <v>0</v>
      </c>
      <c r="E56" s="8">
        <f>2</f>
        <v>2</v>
      </c>
      <c r="F56" s="10">
        <f>2</f>
        <v>2</v>
      </c>
      <c r="G56" s="10"/>
      <c r="H56" s="10"/>
      <c r="I56" s="10"/>
      <c r="J56" s="8">
        <f t="shared" si="0"/>
        <v>0</v>
      </c>
      <c r="K56" s="26"/>
      <c r="L56" s="26"/>
      <c r="M56" s="26"/>
      <c r="N56" s="26"/>
      <c r="O56" s="26"/>
      <c r="P56" s="26">
        <f t="shared" si="1"/>
        <v>0</v>
      </c>
    </row>
    <row r="57" s="2" customFormat="1" ht="18" customHeight="1" spans="1:16">
      <c r="A57" s="21" t="s">
        <v>129</v>
      </c>
      <c r="B57" s="14" t="s">
        <v>130</v>
      </c>
      <c r="C57" s="8" t="s">
        <v>32</v>
      </c>
      <c r="D57" s="8">
        <v>276.773</v>
      </c>
      <c r="E57" s="8">
        <f>0.05+25.355+11.74+2.78+13.94+22.98561+12.58+8.35+24.6+1.05+31.991+0.89+41.0845+11.4</f>
        <v>208.79611</v>
      </c>
      <c r="F57" s="8">
        <f>8.905+13.6+7.005+7.01+17.54+18.005+11.185+12.013+22.37+2.78+0.255+5.7295+19.08+15.85611+11.2+11.74+9.5+9.84+6.8455</f>
        <v>210.45911</v>
      </c>
      <c r="G57" s="8"/>
      <c r="H57" s="8"/>
      <c r="I57" s="8"/>
      <c r="J57" s="8">
        <f t="shared" si="0"/>
        <v>275.11</v>
      </c>
      <c r="K57" s="26">
        <v>275.11</v>
      </c>
      <c r="L57" s="26"/>
      <c r="M57" s="26"/>
      <c r="N57" s="26"/>
      <c r="O57" s="26"/>
      <c r="P57" s="26">
        <f t="shared" si="1"/>
        <v>275.11</v>
      </c>
    </row>
    <row r="58" s="2" customFormat="1" ht="18" customHeight="1" spans="1:16">
      <c r="A58" s="21" t="s">
        <v>58</v>
      </c>
      <c r="B58" s="14" t="s">
        <v>130</v>
      </c>
      <c r="C58" s="8" t="s">
        <v>64</v>
      </c>
      <c r="D58" s="8">
        <v>0</v>
      </c>
      <c r="E58" s="8">
        <f>1.5</f>
        <v>1.5</v>
      </c>
      <c r="F58" s="8">
        <f>1.5</f>
        <v>1.5</v>
      </c>
      <c r="G58" s="8"/>
      <c r="H58" s="8"/>
      <c r="I58" s="8"/>
      <c r="J58" s="8">
        <f t="shared" si="0"/>
        <v>0</v>
      </c>
      <c r="K58" s="26"/>
      <c r="L58" s="26"/>
      <c r="M58" s="26"/>
      <c r="N58" s="26"/>
      <c r="O58" s="26"/>
      <c r="P58" s="26">
        <f t="shared" si="1"/>
        <v>0</v>
      </c>
    </row>
    <row r="59" s="2" customFormat="1" ht="18" customHeight="1" spans="1:16">
      <c r="A59" s="12" t="s">
        <v>131</v>
      </c>
      <c r="B59" s="8" t="s">
        <v>132</v>
      </c>
      <c r="C59" s="8" t="s">
        <v>64</v>
      </c>
      <c r="D59" s="22">
        <v>1.674</v>
      </c>
      <c r="E59" s="8">
        <f>0.1614+0.721</f>
        <v>0.8824</v>
      </c>
      <c r="F59" s="10">
        <f>1.674</f>
        <v>1.674</v>
      </c>
      <c r="G59" s="10"/>
      <c r="H59" s="10"/>
      <c r="I59" s="10"/>
      <c r="J59" s="8">
        <f t="shared" si="0"/>
        <v>0.8824</v>
      </c>
      <c r="K59" s="26">
        <v>0.8824</v>
      </c>
      <c r="L59" s="26"/>
      <c r="M59" s="26"/>
      <c r="N59" s="26"/>
      <c r="O59" s="26"/>
      <c r="P59" s="26">
        <f t="shared" si="1"/>
        <v>0.8824</v>
      </c>
    </row>
    <row r="60" s="2" customFormat="1" ht="18" customHeight="1" spans="1:16">
      <c r="A60" s="23" t="s">
        <v>133</v>
      </c>
      <c r="B60" s="8" t="s">
        <v>132</v>
      </c>
      <c r="C60" s="8" t="s">
        <v>32</v>
      </c>
      <c r="D60" s="14">
        <v>0</v>
      </c>
      <c r="E60" s="24">
        <f>0.48+0.005+0.007+0.3+0.007+0.252+0.04521</f>
        <v>1.09621</v>
      </c>
      <c r="F60" s="10">
        <f>0.25+0.23+0.012</f>
        <v>0.492</v>
      </c>
      <c r="G60" s="10"/>
      <c r="H60" s="10"/>
      <c r="I60" s="10"/>
      <c r="J60" s="8">
        <f t="shared" si="0"/>
        <v>0.60421</v>
      </c>
      <c r="K60" s="26">
        <v>0.60421</v>
      </c>
      <c r="L60" s="26"/>
      <c r="M60" s="26"/>
      <c r="N60" s="26"/>
      <c r="O60" s="26"/>
      <c r="P60" s="26">
        <f t="shared" si="1"/>
        <v>0.60421</v>
      </c>
    </row>
    <row r="61" s="2" customFormat="1" ht="18" customHeight="1" spans="1:16">
      <c r="A61" s="12" t="s">
        <v>127</v>
      </c>
      <c r="B61" s="8" t="s">
        <v>132</v>
      </c>
      <c r="C61" s="8" t="s">
        <v>29</v>
      </c>
      <c r="D61" s="8">
        <v>0</v>
      </c>
      <c r="E61" s="8">
        <f>0.4+4</f>
        <v>4.4</v>
      </c>
      <c r="F61" s="8">
        <f>0.4</f>
        <v>0.4</v>
      </c>
      <c r="G61" s="10"/>
      <c r="H61" s="10"/>
      <c r="I61" s="10"/>
      <c r="J61" s="8">
        <f t="shared" si="0"/>
        <v>4</v>
      </c>
      <c r="K61" s="26">
        <v>4</v>
      </c>
      <c r="L61" s="26"/>
      <c r="M61" s="26"/>
      <c r="N61" s="26"/>
      <c r="O61" s="26"/>
      <c r="P61" s="26">
        <f t="shared" si="1"/>
        <v>4</v>
      </c>
    </row>
    <row r="62" s="2" customFormat="1" ht="18" customHeight="1" spans="1:16">
      <c r="A62" s="9" t="s">
        <v>134</v>
      </c>
      <c r="B62" s="8" t="s">
        <v>135</v>
      </c>
      <c r="C62" s="8" t="s">
        <v>29</v>
      </c>
      <c r="D62" s="8">
        <v>0</v>
      </c>
      <c r="E62" s="8">
        <f>0.02</f>
        <v>0.02</v>
      </c>
      <c r="F62" s="8"/>
      <c r="G62" s="10"/>
      <c r="H62" s="10"/>
      <c r="I62" s="10"/>
      <c r="J62" s="8">
        <f t="shared" si="0"/>
        <v>0.02</v>
      </c>
      <c r="K62" s="26">
        <v>0.02</v>
      </c>
      <c r="L62" s="26"/>
      <c r="M62" s="26"/>
      <c r="N62" s="26"/>
      <c r="O62" s="26"/>
      <c r="P62" s="26">
        <f t="shared" si="1"/>
        <v>0.02</v>
      </c>
    </row>
    <row r="63" s="2" customFormat="1" ht="18" customHeight="1" spans="1:16">
      <c r="A63" s="9" t="s">
        <v>136</v>
      </c>
      <c r="B63" s="8" t="s">
        <v>137</v>
      </c>
      <c r="C63" s="8" t="s">
        <v>29</v>
      </c>
      <c r="D63" s="8">
        <v>0</v>
      </c>
      <c r="E63" s="8">
        <f>0.93</f>
        <v>0.93</v>
      </c>
      <c r="F63" s="24"/>
      <c r="G63" s="10"/>
      <c r="H63" s="10"/>
      <c r="I63" s="10"/>
      <c r="J63" s="8">
        <f t="shared" si="0"/>
        <v>0.93</v>
      </c>
      <c r="K63" s="26"/>
      <c r="L63" s="26">
        <v>0.93</v>
      </c>
      <c r="M63" s="26"/>
      <c r="N63" s="26"/>
      <c r="O63" s="26"/>
      <c r="P63" s="26">
        <f t="shared" si="1"/>
        <v>0.93</v>
      </c>
    </row>
    <row r="64" s="2" customFormat="1" ht="18" customHeight="1" spans="1:16">
      <c r="A64" s="16" t="s">
        <v>138</v>
      </c>
      <c r="B64" s="8" t="s">
        <v>139</v>
      </c>
      <c r="C64" s="8" t="s">
        <v>64</v>
      </c>
      <c r="D64" s="8">
        <v>0.499999999999999</v>
      </c>
      <c r="E64" s="8">
        <f>0.1+0.11</f>
        <v>0.21</v>
      </c>
      <c r="F64" s="10">
        <f>0.5+0.1+0.06+0.05</f>
        <v>0.71</v>
      </c>
      <c r="G64" s="25"/>
      <c r="H64" s="25"/>
      <c r="I64" s="25"/>
      <c r="J64" s="8">
        <v>0</v>
      </c>
      <c r="K64" s="26"/>
      <c r="L64" s="26"/>
      <c r="M64" s="26"/>
      <c r="N64" s="26"/>
      <c r="O64" s="26"/>
      <c r="P64" s="26">
        <f t="shared" si="1"/>
        <v>0</v>
      </c>
    </row>
    <row r="65" s="2" customFormat="1" ht="18" customHeight="1" spans="1:16">
      <c r="A65" s="16" t="s">
        <v>138</v>
      </c>
      <c r="B65" s="8" t="s">
        <v>139</v>
      </c>
      <c r="C65" s="8" t="s">
        <v>32</v>
      </c>
      <c r="D65" s="8">
        <v>38.35</v>
      </c>
      <c r="E65" s="8">
        <f>6.75+15.32+15.48+13.92+15.74</f>
        <v>67.21</v>
      </c>
      <c r="F65" s="10">
        <f>8.47+6.75+15.32+15.48+13.92</f>
        <v>59.94</v>
      </c>
      <c r="G65" s="10"/>
      <c r="H65" s="10"/>
      <c r="I65" s="10"/>
      <c r="J65" s="8">
        <f t="shared" ref="J65:J107" si="3">D65+E65-F65-G65-H65-I65</f>
        <v>45.62</v>
      </c>
      <c r="K65" s="26">
        <v>45.62</v>
      </c>
      <c r="L65" s="26"/>
      <c r="M65" s="26"/>
      <c r="N65" s="26"/>
      <c r="O65" s="26"/>
      <c r="P65" s="26">
        <f t="shared" si="1"/>
        <v>45.62</v>
      </c>
    </row>
    <row r="66" s="2" customFormat="1" ht="18" customHeight="1" spans="1:16">
      <c r="A66" s="11" t="s">
        <v>140</v>
      </c>
      <c r="B66" s="4" t="s">
        <v>141</v>
      </c>
      <c r="C66" s="8" t="s">
        <v>32</v>
      </c>
      <c r="D66" s="8">
        <v>0</v>
      </c>
      <c r="E66" s="8">
        <f>0.542</f>
        <v>0.542</v>
      </c>
      <c r="F66" s="10"/>
      <c r="G66" s="10"/>
      <c r="H66" s="10"/>
      <c r="I66" s="10"/>
      <c r="J66" s="8">
        <f t="shared" si="3"/>
        <v>0.542</v>
      </c>
      <c r="K66" s="26">
        <v>0.542</v>
      </c>
      <c r="L66" s="26"/>
      <c r="M66" s="26"/>
      <c r="N66" s="26"/>
      <c r="O66" s="26"/>
      <c r="P66" s="26">
        <f t="shared" si="1"/>
        <v>0.542</v>
      </c>
    </row>
    <row r="67" s="2" customFormat="1" ht="18" customHeight="1" spans="1:16">
      <c r="A67" s="9" t="s">
        <v>142</v>
      </c>
      <c r="B67" s="4" t="s">
        <v>143</v>
      </c>
      <c r="C67" s="8" t="s">
        <v>32</v>
      </c>
      <c r="D67" s="8">
        <v>0</v>
      </c>
      <c r="E67" s="8">
        <f>7</f>
        <v>7</v>
      </c>
      <c r="F67" s="10">
        <f>7</f>
        <v>7</v>
      </c>
      <c r="G67" s="10"/>
      <c r="H67" s="10"/>
      <c r="I67" s="10"/>
      <c r="J67" s="8">
        <f t="shared" si="3"/>
        <v>0</v>
      </c>
      <c r="K67" s="26"/>
      <c r="L67" s="26"/>
      <c r="M67" s="26"/>
      <c r="N67" s="26"/>
      <c r="O67" s="26"/>
      <c r="P67" s="26">
        <f t="shared" si="1"/>
        <v>0</v>
      </c>
    </row>
    <row r="68" s="2" customFormat="1" ht="18" customHeight="1" spans="1:16">
      <c r="A68" s="11" t="s">
        <v>144</v>
      </c>
      <c r="B68" s="4" t="s">
        <v>143</v>
      </c>
      <c r="C68" s="8" t="s">
        <v>64</v>
      </c>
      <c r="D68" s="8">
        <v>4.296</v>
      </c>
      <c r="E68" s="8">
        <f>3.287</f>
        <v>3.287</v>
      </c>
      <c r="F68" s="10"/>
      <c r="G68" s="10"/>
      <c r="H68" s="10"/>
      <c r="I68" s="10"/>
      <c r="J68" s="8">
        <f t="shared" si="3"/>
        <v>7.583</v>
      </c>
      <c r="K68" s="26">
        <v>7.583</v>
      </c>
      <c r="L68" s="26"/>
      <c r="M68" s="26"/>
      <c r="N68" s="26"/>
      <c r="O68" s="26"/>
      <c r="P68" s="26">
        <f t="shared" ref="P68:P98" si="4">K68+L68+M68+N68+O68</f>
        <v>7.583</v>
      </c>
    </row>
    <row r="69" s="2" customFormat="1" ht="18" customHeight="1" spans="1:16">
      <c r="A69" s="9" t="s">
        <v>145</v>
      </c>
      <c r="B69" s="4" t="s">
        <v>146</v>
      </c>
      <c r="C69" s="8" t="s">
        <v>29</v>
      </c>
      <c r="D69" s="8">
        <v>17.52</v>
      </c>
      <c r="E69" s="8"/>
      <c r="F69" s="10"/>
      <c r="G69" s="10"/>
      <c r="H69" s="10"/>
      <c r="I69" s="10"/>
      <c r="J69" s="8">
        <f t="shared" si="3"/>
        <v>17.52</v>
      </c>
      <c r="K69" s="26">
        <v>17.52</v>
      </c>
      <c r="L69" s="26"/>
      <c r="M69" s="26"/>
      <c r="N69" s="26"/>
      <c r="O69" s="26"/>
      <c r="P69" s="26">
        <f t="shared" si="4"/>
        <v>17.52</v>
      </c>
    </row>
    <row r="70" s="2" customFormat="1" ht="18" customHeight="1" spans="1:16">
      <c r="A70" s="11" t="s">
        <v>147</v>
      </c>
      <c r="B70" s="4" t="s">
        <v>146</v>
      </c>
      <c r="C70" s="8" t="s">
        <v>64</v>
      </c>
      <c r="D70" s="8">
        <v>0</v>
      </c>
      <c r="E70" s="8">
        <f>1.9+1.923</f>
        <v>3.823</v>
      </c>
      <c r="F70" s="10">
        <f>0.36</f>
        <v>0.36</v>
      </c>
      <c r="G70" s="10"/>
      <c r="H70" s="10"/>
      <c r="I70" s="10"/>
      <c r="J70" s="8">
        <f t="shared" si="3"/>
        <v>3.463</v>
      </c>
      <c r="K70" s="26">
        <v>3.463</v>
      </c>
      <c r="L70" s="26"/>
      <c r="M70" s="26"/>
      <c r="N70" s="26"/>
      <c r="O70" s="26"/>
      <c r="P70" s="26">
        <f t="shared" si="4"/>
        <v>3.463</v>
      </c>
    </row>
    <row r="71" s="2" customFormat="1" ht="18" customHeight="1" spans="1:16">
      <c r="A71" s="9" t="s">
        <v>145</v>
      </c>
      <c r="B71" s="4" t="s">
        <v>146</v>
      </c>
      <c r="C71" s="8" t="s">
        <v>32</v>
      </c>
      <c r="D71" s="8">
        <v>0</v>
      </c>
      <c r="E71" s="8">
        <f>0.58</f>
        <v>0.58</v>
      </c>
      <c r="F71" s="10"/>
      <c r="G71" s="10"/>
      <c r="H71" s="10"/>
      <c r="I71" s="10"/>
      <c r="J71" s="8">
        <f t="shared" si="3"/>
        <v>0.58</v>
      </c>
      <c r="K71" s="26">
        <v>0.58</v>
      </c>
      <c r="L71" s="26"/>
      <c r="M71" s="26"/>
      <c r="N71" s="26"/>
      <c r="O71" s="26"/>
      <c r="P71" s="26">
        <f t="shared" si="4"/>
        <v>0.58</v>
      </c>
    </row>
    <row r="72" s="2" customFormat="1" ht="18" customHeight="1" spans="1:16">
      <c r="A72" s="11" t="s">
        <v>148</v>
      </c>
      <c r="B72" s="4" t="s">
        <v>149</v>
      </c>
      <c r="C72" s="8" t="s">
        <v>64</v>
      </c>
      <c r="D72" s="8">
        <v>0</v>
      </c>
      <c r="E72" s="8">
        <f>3.8</f>
        <v>3.8</v>
      </c>
      <c r="F72" s="10"/>
      <c r="G72" s="10"/>
      <c r="H72" s="10"/>
      <c r="I72" s="10"/>
      <c r="J72" s="8">
        <f t="shared" si="3"/>
        <v>3.8</v>
      </c>
      <c r="K72" s="26">
        <v>3.8</v>
      </c>
      <c r="L72" s="26"/>
      <c r="M72" s="26"/>
      <c r="N72" s="26"/>
      <c r="O72" s="26"/>
      <c r="P72" s="26">
        <f t="shared" si="4"/>
        <v>3.8</v>
      </c>
    </row>
    <row r="73" s="2" customFormat="1" ht="18" customHeight="1" spans="1:16">
      <c r="A73" s="9" t="s">
        <v>140</v>
      </c>
      <c r="B73" s="4" t="s">
        <v>149</v>
      </c>
      <c r="C73" s="8" t="s">
        <v>32</v>
      </c>
      <c r="D73" s="8">
        <v>2.74</v>
      </c>
      <c r="E73" s="8">
        <f>0.2</f>
        <v>0.2</v>
      </c>
      <c r="F73" s="8">
        <f>2.74</f>
        <v>2.74</v>
      </c>
      <c r="G73" s="8"/>
      <c r="H73" s="8"/>
      <c r="I73" s="8"/>
      <c r="J73" s="8">
        <f t="shared" si="3"/>
        <v>0.2</v>
      </c>
      <c r="K73" s="26">
        <v>0.2</v>
      </c>
      <c r="L73" s="26"/>
      <c r="M73" s="26"/>
      <c r="N73" s="26"/>
      <c r="O73" s="26"/>
      <c r="P73" s="26">
        <f t="shared" si="4"/>
        <v>0.2</v>
      </c>
    </row>
    <row r="74" s="2" customFormat="1" ht="18" customHeight="1" spans="1:16">
      <c r="A74" s="9" t="s">
        <v>150</v>
      </c>
      <c r="B74" s="4" t="s">
        <v>151</v>
      </c>
      <c r="C74" s="8" t="s">
        <v>32</v>
      </c>
      <c r="D74" s="8">
        <v>0</v>
      </c>
      <c r="E74" s="8">
        <f>0.8</f>
        <v>0.8</v>
      </c>
      <c r="F74" s="8"/>
      <c r="G74" s="8"/>
      <c r="H74" s="8"/>
      <c r="I74" s="8"/>
      <c r="J74" s="8">
        <f t="shared" si="3"/>
        <v>0.8</v>
      </c>
      <c r="K74" s="26">
        <v>0.8</v>
      </c>
      <c r="L74" s="26"/>
      <c r="M74" s="26"/>
      <c r="N74" s="26"/>
      <c r="O74" s="26"/>
      <c r="P74" s="26">
        <f t="shared" si="4"/>
        <v>0.8</v>
      </c>
    </row>
    <row r="75" s="2" customFormat="1" ht="18" customHeight="1" spans="1:16">
      <c r="A75" s="9" t="s">
        <v>152</v>
      </c>
      <c r="B75" s="4" t="s">
        <v>153</v>
      </c>
      <c r="C75" s="8" t="s">
        <v>29</v>
      </c>
      <c r="D75" s="8">
        <v>0.6</v>
      </c>
      <c r="E75" s="8"/>
      <c r="F75" s="8">
        <f>0.6</f>
        <v>0.6</v>
      </c>
      <c r="G75" s="8"/>
      <c r="H75" s="8"/>
      <c r="I75" s="8"/>
      <c r="J75" s="8">
        <f t="shared" si="3"/>
        <v>0</v>
      </c>
      <c r="K75" s="26"/>
      <c r="L75" s="26"/>
      <c r="M75" s="26"/>
      <c r="N75" s="26"/>
      <c r="O75" s="26"/>
      <c r="P75" s="26">
        <f t="shared" si="4"/>
        <v>0</v>
      </c>
    </row>
    <row r="76" s="2" customFormat="1" ht="18" customHeight="1" spans="1:16">
      <c r="A76" s="11" t="s">
        <v>154</v>
      </c>
      <c r="B76" s="4" t="s">
        <v>155</v>
      </c>
      <c r="C76" s="8" t="s">
        <v>29</v>
      </c>
      <c r="D76" s="8">
        <v>1.2</v>
      </c>
      <c r="E76" s="8">
        <f>0.01+0.44+1.04+0.05+0.074</f>
        <v>1.614</v>
      </c>
      <c r="F76" s="8">
        <f>0.6+0.6+0.45</f>
        <v>1.65</v>
      </c>
      <c r="G76" s="8"/>
      <c r="H76" s="8"/>
      <c r="I76" s="8"/>
      <c r="J76" s="8">
        <f t="shared" si="3"/>
        <v>1.164</v>
      </c>
      <c r="K76" s="26">
        <v>1.164</v>
      </c>
      <c r="L76" s="26"/>
      <c r="M76" s="26"/>
      <c r="N76" s="26"/>
      <c r="O76" s="26"/>
      <c r="P76" s="26">
        <f t="shared" si="4"/>
        <v>1.164</v>
      </c>
    </row>
    <row r="77" s="2" customFormat="1" ht="18" customHeight="1" spans="1:16">
      <c r="A77" s="9" t="s">
        <v>156</v>
      </c>
      <c r="B77" s="4" t="s">
        <v>155</v>
      </c>
      <c r="C77" s="8" t="s">
        <v>32</v>
      </c>
      <c r="D77" s="8">
        <v>0</v>
      </c>
      <c r="E77" s="8">
        <f>0.001</f>
        <v>0.001</v>
      </c>
      <c r="F77" s="8"/>
      <c r="G77" s="8"/>
      <c r="H77" s="8"/>
      <c r="I77" s="8"/>
      <c r="J77" s="8">
        <f t="shared" si="3"/>
        <v>0.001</v>
      </c>
      <c r="K77" s="26">
        <v>0.001</v>
      </c>
      <c r="L77" s="26"/>
      <c r="M77" s="26"/>
      <c r="N77" s="26"/>
      <c r="O77" s="26"/>
      <c r="P77" s="26">
        <f t="shared" si="4"/>
        <v>0.001</v>
      </c>
    </row>
    <row r="78" s="2" customFormat="1" ht="18" customHeight="1" spans="1:16">
      <c r="A78" s="11" t="s">
        <v>157</v>
      </c>
      <c r="B78" s="4" t="s">
        <v>158</v>
      </c>
      <c r="C78" s="8" t="s">
        <v>32</v>
      </c>
      <c r="D78" s="8">
        <v>0.25</v>
      </c>
      <c r="E78" s="8"/>
      <c r="F78" s="10">
        <f>0.25</f>
        <v>0.25</v>
      </c>
      <c r="G78" s="10"/>
      <c r="H78" s="10"/>
      <c r="I78" s="10"/>
      <c r="J78" s="8">
        <f t="shared" si="3"/>
        <v>0</v>
      </c>
      <c r="K78" s="26"/>
      <c r="L78" s="26"/>
      <c r="M78" s="26"/>
      <c r="N78" s="26"/>
      <c r="O78" s="26"/>
      <c r="P78" s="26">
        <f t="shared" si="4"/>
        <v>0</v>
      </c>
    </row>
    <row r="79" s="2" customFormat="1" ht="18" customHeight="1" spans="1:16">
      <c r="A79" s="35" t="s">
        <v>159</v>
      </c>
      <c r="B79" s="4" t="s">
        <v>160</v>
      </c>
      <c r="C79" s="8" t="s">
        <v>32</v>
      </c>
      <c r="D79" s="8">
        <v>8.32</v>
      </c>
      <c r="E79" s="8"/>
      <c r="F79" s="10">
        <f>8.32</f>
        <v>8.32</v>
      </c>
      <c r="G79" s="10"/>
      <c r="H79" s="10"/>
      <c r="I79" s="10"/>
      <c r="J79" s="8">
        <f t="shared" si="3"/>
        <v>0</v>
      </c>
      <c r="K79" s="26"/>
      <c r="L79" s="26"/>
      <c r="M79" s="26"/>
      <c r="N79" s="26"/>
      <c r="O79" s="26"/>
      <c r="P79" s="26">
        <f t="shared" si="4"/>
        <v>0</v>
      </c>
    </row>
    <row r="80" s="2" customFormat="1" ht="18" customHeight="1" spans="1:16">
      <c r="A80" s="35" t="s">
        <v>161</v>
      </c>
      <c r="B80" s="4" t="s">
        <v>162</v>
      </c>
      <c r="C80" s="8" t="s">
        <v>32</v>
      </c>
      <c r="D80" s="8">
        <v>0.0999999999999943</v>
      </c>
      <c r="E80" s="8">
        <f>29.7+30.96+28.74+27.76</f>
        <v>117.16</v>
      </c>
      <c r="F80" s="10">
        <f>0.1+15+14.7</f>
        <v>29.8</v>
      </c>
      <c r="G80" s="10"/>
      <c r="H80" s="10"/>
      <c r="I80" s="10"/>
      <c r="J80" s="8">
        <f t="shared" si="3"/>
        <v>87.46</v>
      </c>
      <c r="K80" s="26"/>
      <c r="L80" s="26">
        <v>87.46</v>
      </c>
      <c r="M80" s="26"/>
      <c r="N80" s="26"/>
      <c r="O80" s="26"/>
      <c r="P80" s="26">
        <f t="shared" si="4"/>
        <v>87.46</v>
      </c>
    </row>
    <row r="81" s="2" customFormat="1" ht="18" customHeight="1" spans="1:16">
      <c r="A81" s="9" t="s">
        <v>163</v>
      </c>
      <c r="B81" s="4" t="s">
        <v>164</v>
      </c>
      <c r="C81" s="8" t="s">
        <v>29</v>
      </c>
      <c r="D81" s="8">
        <v>6.1932</v>
      </c>
      <c r="E81" s="8"/>
      <c r="F81" s="10"/>
      <c r="G81" s="10">
        <f>6.1932</f>
        <v>6.1932</v>
      </c>
      <c r="H81" s="10"/>
      <c r="I81" s="10"/>
      <c r="J81" s="8">
        <f t="shared" si="3"/>
        <v>0</v>
      </c>
      <c r="K81" s="26"/>
      <c r="L81" s="26"/>
      <c r="M81" s="26"/>
      <c r="N81" s="26"/>
      <c r="O81" s="26"/>
      <c r="P81" s="26">
        <f t="shared" si="4"/>
        <v>0</v>
      </c>
    </row>
    <row r="82" s="2" customFormat="1" ht="18" customHeight="1" spans="1:16">
      <c r="A82" s="9" t="s">
        <v>165</v>
      </c>
      <c r="B82" s="4" t="s">
        <v>164</v>
      </c>
      <c r="C82" s="8" t="s">
        <v>32</v>
      </c>
      <c r="D82" s="8">
        <v>0</v>
      </c>
      <c r="E82" s="8">
        <f>5.28</f>
        <v>5.28</v>
      </c>
      <c r="F82" s="10"/>
      <c r="G82" s="10"/>
      <c r="H82" s="10"/>
      <c r="I82" s="10"/>
      <c r="J82" s="8">
        <f t="shared" si="3"/>
        <v>5.28</v>
      </c>
      <c r="K82" s="26"/>
      <c r="L82" s="26">
        <v>5.28</v>
      </c>
      <c r="M82" s="26"/>
      <c r="N82" s="26"/>
      <c r="O82" s="26"/>
      <c r="P82" s="26">
        <f t="shared" si="4"/>
        <v>5.28</v>
      </c>
    </row>
    <row r="83" s="2" customFormat="1" ht="18" customHeight="1" spans="1:16">
      <c r="A83" s="11" t="s">
        <v>161</v>
      </c>
      <c r="B83" s="4" t="s">
        <v>166</v>
      </c>
      <c r="C83" s="8" t="s">
        <v>32</v>
      </c>
      <c r="D83" s="8">
        <v>0</v>
      </c>
      <c r="E83" s="8">
        <f>0.04</f>
        <v>0.04</v>
      </c>
      <c r="F83" s="10"/>
      <c r="G83" s="10"/>
      <c r="H83" s="10"/>
      <c r="I83" s="10"/>
      <c r="J83" s="8">
        <f t="shared" si="3"/>
        <v>0.04</v>
      </c>
      <c r="K83" s="26"/>
      <c r="L83" s="26">
        <v>0.04</v>
      </c>
      <c r="M83" s="26"/>
      <c r="N83" s="26"/>
      <c r="O83" s="26"/>
      <c r="P83" s="26">
        <f t="shared" si="4"/>
        <v>0.04</v>
      </c>
    </row>
    <row r="84" s="2" customFormat="1" ht="18" customHeight="1" spans="1:16">
      <c r="A84" s="11" t="s">
        <v>167</v>
      </c>
      <c r="B84" s="8" t="s">
        <v>168</v>
      </c>
      <c r="C84" s="8" t="s">
        <v>32</v>
      </c>
      <c r="D84" s="8">
        <v>9.49199999999999</v>
      </c>
      <c r="E84" s="8">
        <f>12.42+3.35+8.33+0.71+28.44+8.38</f>
        <v>61.63</v>
      </c>
      <c r="F84" s="10">
        <f>5.415+0.2+3.877+12.42+3.35</f>
        <v>25.262</v>
      </c>
      <c r="G84" s="10"/>
      <c r="H84" s="10"/>
      <c r="I84" s="10"/>
      <c r="J84" s="8">
        <f t="shared" si="3"/>
        <v>45.86</v>
      </c>
      <c r="K84" s="26"/>
      <c r="L84" s="26">
        <v>45.86</v>
      </c>
      <c r="M84" s="26"/>
      <c r="N84" s="26"/>
      <c r="O84" s="26"/>
      <c r="P84" s="26">
        <f t="shared" si="4"/>
        <v>45.86</v>
      </c>
    </row>
    <row r="85" s="2" customFormat="1" ht="18" customHeight="1" spans="1:16">
      <c r="A85" s="12" t="s">
        <v>169</v>
      </c>
      <c r="B85" s="8" t="s">
        <v>168</v>
      </c>
      <c r="C85" s="8" t="s">
        <v>64</v>
      </c>
      <c r="D85" s="8">
        <v>0</v>
      </c>
      <c r="E85" s="8">
        <f>0.88</f>
        <v>0.88</v>
      </c>
      <c r="F85" s="10">
        <f>0.88</f>
        <v>0.88</v>
      </c>
      <c r="G85" s="10"/>
      <c r="H85" s="10"/>
      <c r="I85" s="10"/>
      <c r="J85" s="8">
        <f t="shared" si="3"/>
        <v>0</v>
      </c>
      <c r="K85" s="26"/>
      <c r="L85" s="26"/>
      <c r="M85" s="26"/>
      <c r="N85" s="26"/>
      <c r="O85" s="26"/>
      <c r="P85" s="26">
        <f t="shared" si="4"/>
        <v>0</v>
      </c>
    </row>
    <row r="86" s="2" customFormat="1" ht="18" customHeight="1" spans="1:16">
      <c r="A86" s="12" t="s">
        <v>169</v>
      </c>
      <c r="B86" s="8" t="s">
        <v>168</v>
      </c>
      <c r="C86" s="8" t="s">
        <v>29</v>
      </c>
      <c r="D86" s="8">
        <v>31.809</v>
      </c>
      <c r="E86" s="8">
        <f>3.69+0.8</f>
        <v>4.49</v>
      </c>
      <c r="F86" s="8">
        <f>3.48+0.43</f>
        <v>3.91</v>
      </c>
      <c r="G86" s="8">
        <f>1.379</f>
        <v>1.379</v>
      </c>
      <c r="H86" s="8"/>
      <c r="I86" s="8"/>
      <c r="J86" s="8">
        <f t="shared" si="3"/>
        <v>31.01</v>
      </c>
      <c r="K86" s="26"/>
      <c r="L86" s="26">
        <v>31.01</v>
      </c>
      <c r="M86" s="26"/>
      <c r="N86" s="26"/>
      <c r="O86" s="26"/>
      <c r="P86" s="26">
        <f t="shared" si="4"/>
        <v>31.01</v>
      </c>
    </row>
    <row r="87" s="2" customFormat="1" ht="18" customHeight="1" spans="1:16">
      <c r="A87" s="11" t="s">
        <v>62</v>
      </c>
      <c r="B87" s="8" t="s">
        <v>170</v>
      </c>
      <c r="C87" s="8" t="s">
        <v>64</v>
      </c>
      <c r="D87" s="8">
        <v>0</v>
      </c>
      <c r="E87" s="8">
        <f>0.18</f>
        <v>0.18</v>
      </c>
      <c r="F87" s="10"/>
      <c r="G87" s="10"/>
      <c r="H87" s="10"/>
      <c r="I87" s="10"/>
      <c r="J87" s="8">
        <f t="shared" si="3"/>
        <v>0.18</v>
      </c>
      <c r="K87" s="26"/>
      <c r="L87" s="26">
        <v>0.18</v>
      </c>
      <c r="M87" s="26"/>
      <c r="N87" s="26"/>
      <c r="O87" s="26"/>
      <c r="P87" s="26">
        <f t="shared" si="4"/>
        <v>0.18</v>
      </c>
    </row>
    <row r="88" s="2" customFormat="1" ht="18" customHeight="1" spans="1:16">
      <c r="A88" s="23" t="s">
        <v>62</v>
      </c>
      <c r="B88" s="7" t="s">
        <v>170</v>
      </c>
      <c r="C88" s="8" t="s">
        <v>32</v>
      </c>
      <c r="D88" s="8">
        <v>0</v>
      </c>
      <c r="E88" s="8">
        <f>6.5</f>
        <v>6.5</v>
      </c>
      <c r="F88" s="10"/>
      <c r="G88" s="10"/>
      <c r="H88" s="10"/>
      <c r="I88" s="10"/>
      <c r="J88" s="8">
        <f t="shared" si="3"/>
        <v>6.5</v>
      </c>
      <c r="K88" s="26"/>
      <c r="L88" s="26">
        <v>6.5</v>
      </c>
      <c r="M88" s="26"/>
      <c r="N88" s="26"/>
      <c r="O88" s="26"/>
      <c r="P88" s="26">
        <f t="shared" si="4"/>
        <v>6.5</v>
      </c>
    </row>
    <row r="89" s="2" customFormat="1" ht="18" customHeight="1" spans="1:16">
      <c r="A89" s="9" t="s">
        <v>157</v>
      </c>
      <c r="B89" s="7" t="s">
        <v>171</v>
      </c>
      <c r="C89" s="8" t="s">
        <v>32</v>
      </c>
      <c r="D89" s="8">
        <v>0</v>
      </c>
      <c r="E89" s="8">
        <f>2.04+32.9755</f>
        <v>35.0155</v>
      </c>
      <c r="F89" s="10">
        <f>2.04</f>
        <v>2.04</v>
      </c>
      <c r="G89" s="10"/>
      <c r="H89" s="10"/>
      <c r="I89" s="10"/>
      <c r="J89" s="8">
        <f t="shared" si="3"/>
        <v>32.9755</v>
      </c>
      <c r="K89" s="26"/>
      <c r="L89" s="26">
        <v>32.9755</v>
      </c>
      <c r="M89" s="26"/>
      <c r="N89" s="26"/>
      <c r="O89" s="26"/>
      <c r="P89" s="26">
        <f t="shared" si="4"/>
        <v>32.9755</v>
      </c>
    </row>
    <row r="90" s="2" customFormat="1" ht="18" customHeight="1" spans="1:16">
      <c r="A90" s="9" t="s">
        <v>172</v>
      </c>
      <c r="B90" s="8" t="s">
        <v>173</v>
      </c>
      <c r="C90" s="8" t="s">
        <v>29</v>
      </c>
      <c r="D90" s="8">
        <v>0</v>
      </c>
      <c r="E90" s="8">
        <f>0.05</f>
        <v>0.05</v>
      </c>
      <c r="F90" s="10">
        <f>0.05</f>
        <v>0.05</v>
      </c>
      <c r="G90" s="10"/>
      <c r="H90" s="10"/>
      <c r="I90" s="10"/>
      <c r="J90" s="8">
        <f t="shared" si="3"/>
        <v>0</v>
      </c>
      <c r="K90" s="26"/>
      <c r="L90" s="26"/>
      <c r="M90" s="26"/>
      <c r="N90" s="26"/>
      <c r="O90" s="26"/>
      <c r="P90" s="26">
        <f t="shared" si="4"/>
        <v>0</v>
      </c>
    </row>
    <row r="91" s="2" customFormat="1" ht="18" customHeight="1" spans="1:16">
      <c r="A91" s="36" t="s">
        <v>174</v>
      </c>
      <c r="B91" s="8" t="s">
        <v>175</v>
      </c>
      <c r="C91" s="8" t="s">
        <v>29</v>
      </c>
      <c r="D91" s="8">
        <v>204.18</v>
      </c>
      <c r="E91" s="8"/>
      <c r="F91" s="10"/>
      <c r="G91" s="10">
        <f>25.5+6.96</f>
        <v>32.46</v>
      </c>
      <c r="H91" s="10"/>
      <c r="I91" s="10"/>
      <c r="J91" s="8">
        <f t="shared" si="3"/>
        <v>171.72</v>
      </c>
      <c r="K91" s="26"/>
      <c r="L91" s="26"/>
      <c r="M91" s="26"/>
      <c r="N91" s="26">
        <v>171.72</v>
      </c>
      <c r="O91" s="26"/>
      <c r="P91" s="26">
        <f t="shared" si="4"/>
        <v>171.72</v>
      </c>
    </row>
    <row r="92" s="2" customFormat="1" ht="18" customHeight="1" spans="1:16">
      <c r="A92" s="11" t="s">
        <v>73</v>
      </c>
      <c r="B92" s="8" t="s">
        <v>176</v>
      </c>
      <c r="C92" s="8" t="s">
        <v>32</v>
      </c>
      <c r="D92" s="8">
        <v>0.191</v>
      </c>
      <c r="E92" s="8"/>
      <c r="F92" s="10">
        <f>0.191</f>
        <v>0.191</v>
      </c>
      <c r="G92" s="10"/>
      <c r="H92" s="10"/>
      <c r="I92" s="10"/>
      <c r="J92" s="8">
        <f t="shared" si="3"/>
        <v>0</v>
      </c>
      <c r="K92" s="26"/>
      <c r="L92" s="26"/>
      <c r="M92" s="26"/>
      <c r="N92" s="26"/>
      <c r="O92" s="26"/>
      <c r="P92" s="26">
        <f t="shared" si="4"/>
        <v>0</v>
      </c>
    </row>
    <row r="93" s="2" customFormat="1" ht="18" customHeight="1" spans="1:16">
      <c r="A93" s="37" t="s">
        <v>62</v>
      </c>
      <c r="B93" s="8" t="s">
        <v>177</v>
      </c>
      <c r="C93" s="8" t="s">
        <v>32</v>
      </c>
      <c r="D93" s="8">
        <v>0</v>
      </c>
      <c r="E93" s="8">
        <f>21.559</f>
        <v>21.559</v>
      </c>
      <c r="F93" s="10"/>
      <c r="G93" s="10"/>
      <c r="H93" s="10"/>
      <c r="I93" s="10"/>
      <c r="J93" s="8">
        <f t="shared" si="3"/>
        <v>21.559</v>
      </c>
      <c r="K93" s="26"/>
      <c r="L93" s="26">
        <v>21.559</v>
      </c>
      <c r="M93" s="26"/>
      <c r="N93" s="26"/>
      <c r="O93" s="26"/>
      <c r="P93" s="26">
        <f t="shared" si="4"/>
        <v>21.559</v>
      </c>
    </row>
    <row r="94" s="2" customFormat="1" ht="18" customHeight="1" spans="1:16">
      <c r="A94" s="12" t="s">
        <v>178</v>
      </c>
      <c r="B94" s="14" t="s">
        <v>179</v>
      </c>
      <c r="C94" s="8" t="s">
        <v>32</v>
      </c>
      <c r="D94" s="8">
        <v>151.72353</v>
      </c>
      <c r="E94" s="8">
        <f>12.86+7.4415+33.66+13.5654+53.256+9.70688+33+6.16933+19.8+7.36988+33.469267+28.0725+77.1095+8.2955+37.854835+22.2145+21.9085</f>
        <v>425.753592</v>
      </c>
      <c r="F94" s="10">
        <f>50.88968+34.7152+3.9656+10.35905+9.635+11.5185+19.068+8.057+6.9+5.0449+9.4756+13.9916+58.01478+31.69528+4.79395+6.46733+19.7622+13.7965+12.541+16.0712+0.005+11.21+0.294</f>
        <v>358.27137</v>
      </c>
      <c r="G94" s="10"/>
      <c r="H94" s="10">
        <f>16.405+12.269+1.16</f>
        <v>29.834</v>
      </c>
      <c r="I94" s="10"/>
      <c r="J94" s="8">
        <f t="shared" si="3"/>
        <v>189.371752</v>
      </c>
      <c r="K94" s="26">
        <f>175.839957-50</f>
        <v>125.839957</v>
      </c>
      <c r="L94" s="26">
        <v>13.531795</v>
      </c>
      <c r="M94" s="26"/>
      <c r="N94" s="26"/>
      <c r="O94" s="26">
        <v>50</v>
      </c>
      <c r="P94" s="26">
        <f t="shared" si="4"/>
        <v>189.371752</v>
      </c>
    </row>
    <row r="95" s="2" customFormat="1" ht="18" customHeight="1" spans="1:16">
      <c r="A95" s="9" t="s">
        <v>56</v>
      </c>
      <c r="B95" s="14" t="s">
        <v>179</v>
      </c>
      <c r="C95" s="8" t="s">
        <v>29</v>
      </c>
      <c r="D95" s="8">
        <v>0</v>
      </c>
      <c r="E95" s="8">
        <f>1.2+0.026+0.14+0.0178+0.3</f>
        <v>1.6838</v>
      </c>
      <c r="F95" s="10">
        <f>1.226</f>
        <v>1.226</v>
      </c>
      <c r="G95" s="10"/>
      <c r="H95" s="10"/>
      <c r="I95" s="10"/>
      <c r="J95" s="8">
        <f t="shared" si="3"/>
        <v>0.4578</v>
      </c>
      <c r="K95" s="26">
        <v>0.0178</v>
      </c>
      <c r="L95" s="26">
        <v>0.44</v>
      </c>
      <c r="M95" s="26"/>
      <c r="N95" s="26"/>
      <c r="O95" s="26"/>
      <c r="P95" s="26">
        <f t="shared" si="4"/>
        <v>0.4578</v>
      </c>
    </row>
    <row r="96" s="2" customFormat="1" ht="18" customHeight="1" spans="1:16">
      <c r="A96" s="11" t="s">
        <v>180</v>
      </c>
      <c r="B96" s="14" t="s">
        <v>181</v>
      </c>
      <c r="C96" s="8" t="s">
        <v>32</v>
      </c>
      <c r="D96" s="8">
        <v>0.262</v>
      </c>
      <c r="E96" s="8">
        <f>0.04+0.712+0.513</f>
        <v>1.265</v>
      </c>
      <c r="F96" s="10">
        <f>0.262+0.04</f>
        <v>0.302</v>
      </c>
      <c r="G96" s="10"/>
      <c r="H96" s="10"/>
      <c r="I96" s="10"/>
      <c r="J96" s="8">
        <f t="shared" si="3"/>
        <v>1.225</v>
      </c>
      <c r="K96" s="26">
        <v>1.225</v>
      </c>
      <c r="L96" s="26"/>
      <c r="M96" s="26"/>
      <c r="N96" s="26"/>
      <c r="O96" s="26"/>
      <c r="P96" s="26">
        <f t="shared" si="4"/>
        <v>1.225</v>
      </c>
    </row>
    <row r="97" s="2" customFormat="1" ht="18" customHeight="1" spans="1:16">
      <c r="A97" s="12" t="s">
        <v>62</v>
      </c>
      <c r="B97" s="14" t="s">
        <v>182</v>
      </c>
      <c r="C97" s="8" t="s">
        <v>32</v>
      </c>
      <c r="D97" s="8">
        <v>0</v>
      </c>
      <c r="E97" s="8">
        <f>1.45+3.3+7.717</f>
        <v>12.467</v>
      </c>
      <c r="F97" s="10">
        <f>1.45</f>
        <v>1.45</v>
      </c>
      <c r="G97" s="10"/>
      <c r="H97" s="10"/>
      <c r="I97" s="10"/>
      <c r="J97" s="8">
        <f t="shared" si="3"/>
        <v>11.017</v>
      </c>
      <c r="K97" s="26"/>
      <c r="L97" s="26">
        <v>11.017</v>
      </c>
      <c r="M97" s="26"/>
      <c r="N97" s="26"/>
      <c r="O97" s="26"/>
      <c r="P97" s="26">
        <f t="shared" si="4"/>
        <v>11.017</v>
      </c>
    </row>
    <row r="98" s="2" customFormat="1" ht="18" customHeight="1" spans="1:16">
      <c r="A98" s="12" t="s">
        <v>183</v>
      </c>
      <c r="B98" s="14" t="s">
        <v>182</v>
      </c>
      <c r="C98" s="8" t="s">
        <v>29</v>
      </c>
      <c r="D98" s="8">
        <v>0</v>
      </c>
      <c r="E98" s="8">
        <f>0.36+16.72</f>
        <v>17.08</v>
      </c>
      <c r="F98" s="10">
        <f>0.36</f>
        <v>0.36</v>
      </c>
      <c r="G98" s="10"/>
      <c r="H98" s="10"/>
      <c r="I98" s="10"/>
      <c r="J98" s="8">
        <f t="shared" si="3"/>
        <v>16.72</v>
      </c>
      <c r="K98" s="26"/>
      <c r="L98" s="26">
        <v>16.72</v>
      </c>
      <c r="M98" s="26"/>
      <c r="N98" s="26"/>
      <c r="O98" s="26"/>
      <c r="P98" s="26">
        <f t="shared" si="4"/>
        <v>16.72</v>
      </c>
    </row>
    <row r="99" s="2" customFormat="1" ht="18" customHeight="1" spans="1:16">
      <c r="A99" s="12" t="s">
        <v>73</v>
      </c>
      <c r="B99" s="8" t="s">
        <v>184</v>
      </c>
      <c r="C99" s="8" t="s">
        <v>32</v>
      </c>
      <c r="D99" s="8">
        <v>3.005</v>
      </c>
      <c r="E99" s="8">
        <f>8.29+0.82605+3.4+2.04+0.1+0.5778+2.22+4.15504+0.91+7.8622+0.5+2.6623+0.19764+18.76394+7.92+0.25</f>
        <v>60.67497</v>
      </c>
      <c r="F99" s="8">
        <f>0.03+0.73+0.03+0.12+7.53+0.065+1.51605+0.75+1.38+0.565+2.3438+0.1+5.5102+1.1639+0.3+2.49014-0.32</f>
        <v>24.30409</v>
      </c>
      <c r="G99" s="8"/>
      <c r="H99" s="8"/>
      <c r="I99" s="8"/>
      <c r="J99" s="8">
        <f t="shared" si="3"/>
        <v>39.37588</v>
      </c>
      <c r="K99" s="26"/>
      <c r="L99" s="26">
        <f>39.37588-30</f>
        <v>9.37588</v>
      </c>
      <c r="M99" s="26"/>
      <c r="N99" s="26"/>
      <c r="O99" s="26">
        <v>30</v>
      </c>
      <c r="P99" s="26">
        <f t="shared" ref="P99:P107" si="5">K99+L99+M99+N99+O99</f>
        <v>39.37588</v>
      </c>
    </row>
    <row r="100" s="2" customFormat="1" ht="18" customHeight="1" spans="1:16">
      <c r="A100" s="11" t="s">
        <v>185</v>
      </c>
      <c r="B100" s="8" t="s">
        <v>186</v>
      </c>
      <c r="C100" s="8" t="s">
        <v>32</v>
      </c>
      <c r="D100" s="8">
        <v>0</v>
      </c>
      <c r="E100" s="8">
        <f>4.38+0.52+0.217+0.186</f>
        <v>5.303</v>
      </c>
      <c r="F100" s="8">
        <f>4.38+0.52</f>
        <v>4.9</v>
      </c>
      <c r="G100" s="8"/>
      <c r="H100" s="8"/>
      <c r="I100" s="8"/>
      <c r="J100" s="8">
        <f t="shared" si="3"/>
        <v>0.403</v>
      </c>
      <c r="K100" s="26"/>
      <c r="L100" s="26">
        <v>0.403</v>
      </c>
      <c r="M100" s="26"/>
      <c r="N100" s="26"/>
      <c r="O100" s="26"/>
      <c r="P100" s="26">
        <f t="shared" si="5"/>
        <v>0.403</v>
      </c>
    </row>
    <row r="101" s="2" customFormat="1" ht="18" customHeight="1" spans="1:16">
      <c r="A101" s="11" t="s">
        <v>62</v>
      </c>
      <c r="B101" s="8" t="s">
        <v>186</v>
      </c>
      <c r="C101" s="8" t="s">
        <v>64</v>
      </c>
      <c r="D101" s="8">
        <v>0</v>
      </c>
      <c r="E101" s="8">
        <f>1.2</f>
        <v>1.2</v>
      </c>
      <c r="F101" s="8"/>
      <c r="G101" s="8"/>
      <c r="H101" s="8"/>
      <c r="I101" s="8"/>
      <c r="J101" s="8">
        <f t="shared" si="3"/>
        <v>1.2</v>
      </c>
      <c r="K101" s="26"/>
      <c r="L101" s="26">
        <v>1.2</v>
      </c>
      <c r="M101" s="26"/>
      <c r="N101" s="26"/>
      <c r="O101" s="26"/>
      <c r="P101" s="26">
        <f t="shared" si="5"/>
        <v>1.2</v>
      </c>
    </row>
    <row r="102" s="2" customFormat="1" ht="18" customHeight="1" spans="1:16">
      <c r="A102" s="11" t="s">
        <v>187</v>
      </c>
      <c r="B102" s="14" t="s">
        <v>188</v>
      </c>
      <c r="C102" s="8" t="s">
        <v>32</v>
      </c>
      <c r="D102" s="8">
        <v>5.95455</v>
      </c>
      <c r="E102" s="8">
        <f>0.156+0.13255+0.813+5.337+18.64+2.71125+0.26+0.6804+0.1+0.594+0.04529+4.279+0.1193</f>
        <v>33.86779</v>
      </c>
      <c r="F102" s="10">
        <f>0.0751+0.26695+4.2625+1.3+0.156+2.07255+4.0174+7.56+3.093+0.694+3.977+11.83125+0.0945</f>
        <v>39.40025</v>
      </c>
      <c r="G102" s="10"/>
      <c r="H102" s="10"/>
      <c r="I102" s="10"/>
      <c r="J102" s="8">
        <f t="shared" si="3"/>
        <v>0.422090000000004</v>
      </c>
      <c r="K102" s="26">
        <v>0.12279</v>
      </c>
      <c r="L102" s="26">
        <v>0.2993</v>
      </c>
      <c r="M102" s="26"/>
      <c r="N102" s="26"/>
      <c r="O102" s="26"/>
      <c r="P102" s="26">
        <f t="shared" si="5"/>
        <v>0.42209</v>
      </c>
    </row>
    <row r="103" s="2" customFormat="1" ht="18" customHeight="1" spans="1:16">
      <c r="A103" s="11" t="s">
        <v>189</v>
      </c>
      <c r="B103" s="14" t="s">
        <v>188</v>
      </c>
      <c r="C103" s="8" t="s">
        <v>29</v>
      </c>
      <c r="D103" s="8">
        <v>59.70018</v>
      </c>
      <c r="E103" s="8">
        <f>23.87326+12.75665+2.437+11.003+5.64685+2.72755+1.2+9.25305+5.3916+5.94087+13.17242+17.0355+19.58275+5.6861+30.343475+12.53185+11.26215</f>
        <v>189.844075</v>
      </c>
      <c r="F103" s="10">
        <f>1.2288+1.59025+3.25218+1.04525+5.14475+6.7446+0.74+4.52096+0.43+0.0835+4.9605-0.0945</f>
        <v>29.64629</v>
      </c>
      <c r="G103" s="10">
        <f>2.89025+1.6357+11.10735+3.225+12.26956+3.4798+4.2116+9.68585+6.14567+0.26</f>
        <v>54.91078</v>
      </c>
      <c r="H103" s="10"/>
      <c r="I103" s="10"/>
      <c r="J103" s="8">
        <f t="shared" si="3"/>
        <v>164.987185</v>
      </c>
      <c r="K103" s="26">
        <v>0.078</v>
      </c>
      <c r="L103" s="26">
        <v>164.909185</v>
      </c>
      <c r="M103" s="26"/>
      <c r="N103" s="26"/>
      <c r="O103" s="26"/>
      <c r="P103" s="26">
        <f t="shared" si="5"/>
        <v>164.987185</v>
      </c>
    </row>
    <row r="104" s="2" customFormat="1" ht="18" customHeight="1" spans="1:16">
      <c r="A104" s="9" t="s">
        <v>190</v>
      </c>
      <c r="B104" s="14" t="s">
        <v>191</v>
      </c>
      <c r="C104" s="8" t="s">
        <v>32</v>
      </c>
      <c r="D104" s="8">
        <v>0.87071</v>
      </c>
      <c r="E104" s="8">
        <f>0.4168+474.26</f>
        <v>474.6768</v>
      </c>
      <c r="F104" s="10">
        <f>0.0044+0.14631+0.4168+20+11.96+10+20.72+20</f>
        <v>83.24751</v>
      </c>
      <c r="G104" s="10"/>
      <c r="H104" s="10"/>
      <c r="I104" s="10"/>
      <c r="J104" s="8">
        <f t="shared" si="3"/>
        <v>392.3</v>
      </c>
      <c r="K104" s="26">
        <v>0.72</v>
      </c>
      <c r="L104" s="26">
        <f>391.58-200</f>
        <v>191.58</v>
      </c>
      <c r="M104" s="26"/>
      <c r="N104" s="26"/>
      <c r="O104" s="26">
        <v>200</v>
      </c>
      <c r="P104" s="26">
        <f t="shared" si="5"/>
        <v>392.3</v>
      </c>
    </row>
    <row r="105" s="2" customFormat="1" ht="18" customHeight="1" spans="1:16">
      <c r="A105" s="11" t="s">
        <v>192</v>
      </c>
      <c r="B105" s="14" t="s">
        <v>191</v>
      </c>
      <c r="C105" s="8" t="s">
        <v>29</v>
      </c>
      <c r="D105" s="8">
        <v>0</v>
      </c>
      <c r="E105" s="8">
        <f>79.1</f>
        <v>79.1</v>
      </c>
      <c r="F105" s="10"/>
      <c r="G105" s="10"/>
      <c r="H105" s="10"/>
      <c r="I105" s="10"/>
      <c r="J105" s="8">
        <f t="shared" si="3"/>
        <v>79.1</v>
      </c>
      <c r="K105" s="26"/>
      <c r="L105" s="26">
        <v>79.1</v>
      </c>
      <c r="M105" s="26"/>
      <c r="N105" s="26"/>
      <c r="O105" s="26"/>
      <c r="P105" s="26">
        <f t="shared" si="5"/>
        <v>79.1</v>
      </c>
    </row>
    <row r="106" s="2" customFormat="1" ht="18" customHeight="1" spans="1:16">
      <c r="A106" s="11" t="s">
        <v>193</v>
      </c>
      <c r="B106" s="14" t="s">
        <v>194</v>
      </c>
      <c r="C106" s="8" t="s">
        <v>29</v>
      </c>
      <c r="D106" s="8">
        <v>0</v>
      </c>
      <c r="E106" s="8">
        <f>26.14</f>
        <v>26.14</v>
      </c>
      <c r="F106" s="10"/>
      <c r="G106" s="10"/>
      <c r="H106" s="10"/>
      <c r="I106" s="10"/>
      <c r="J106" s="8">
        <f t="shared" si="3"/>
        <v>26.14</v>
      </c>
      <c r="K106" s="26"/>
      <c r="L106" s="26">
        <v>26.14</v>
      </c>
      <c r="M106" s="26"/>
      <c r="N106" s="26"/>
      <c r="O106" s="26"/>
      <c r="P106" s="26">
        <f t="shared" si="5"/>
        <v>26.14</v>
      </c>
    </row>
    <row r="107" s="2" customFormat="1" ht="18" customHeight="1" spans="1:16">
      <c r="A107" s="12" t="s">
        <v>195</v>
      </c>
      <c r="B107" s="8"/>
      <c r="C107" s="8"/>
      <c r="D107" s="8">
        <v>4721.54271</v>
      </c>
      <c r="E107" s="14">
        <f>SUM(E4:E106)</f>
        <v>2860.442412</v>
      </c>
      <c r="F107" s="14">
        <f>SUM(F4:F106)</f>
        <v>1778.134175</v>
      </c>
      <c r="G107" s="14">
        <f>SUM(G4:G106)</f>
        <v>446.95478</v>
      </c>
      <c r="H107" s="14">
        <f>SUM(H4:H106)</f>
        <v>29.834</v>
      </c>
      <c r="I107" s="14">
        <f>SUM(I4:I106)</f>
        <v>0</v>
      </c>
      <c r="J107" s="8">
        <f t="shared" si="3"/>
        <v>5327.062167</v>
      </c>
      <c r="K107" s="26">
        <f t="shared" ref="K107:P107" si="6">SUM(K4:K106)</f>
        <v>1439.035857</v>
      </c>
      <c r="L107" s="26">
        <f t="shared" si="6"/>
        <v>1620.55306</v>
      </c>
      <c r="M107" s="26">
        <f t="shared" si="6"/>
        <v>0</v>
      </c>
      <c r="N107" s="26">
        <f t="shared" si="6"/>
        <v>1947.47325</v>
      </c>
      <c r="O107" s="26">
        <f t="shared" si="6"/>
        <v>320</v>
      </c>
      <c r="P107" s="26">
        <f t="shared" si="6"/>
        <v>5327.062167</v>
      </c>
    </row>
    <row r="108" s="1" customFormat="1" ht="25" customHeight="1" spans="1:10">
      <c r="A108" s="38" t="s">
        <v>196</v>
      </c>
      <c r="B108" s="28"/>
      <c r="C108" s="38"/>
      <c r="D108" s="28"/>
      <c r="E108" s="28"/>
      <c r="F108" s="39">
        <f>F107+G107+H107</f>
        <v>2254.922955</v>
      </c>
      <c r="G108" s="40"/>
      <c r="H108" s="40"/>
      <c r="I108" s="40"/>
      <c r="J108" s="28"/>
    </row>
    <row r="109" s="2" customFormat="1" ht="14.25" spans="1:16">
      <c r="A109" s="1"/>
      <c r="B109" s="27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="2" customFormat="1" ht="14.25" spans="1:16">
      <c r="A110" s="1"/>
      <c r="B110" s="27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="2" customFormat="1" ht="14.25" spans="1:16">
      <c r="A111" s="1"/>
      <c r="B111" s="27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="2" customFormat="1" ht="14.25" spans="1:16">
      <c r="A112" s="1"/>
      <c r="B112" s="27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="2" customFormat="1" ht="14.25" spans="1:16">
      <c r="A113" s="1"/>
      <c r="B113" s="27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="2" customFormat="1" ht="14.25" spans="1:16">
      <c r="A114" s="1"/>
      <c r="B114" s="27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="2" customFormat="1" ht="14.25" spans="1:16">
      <c r="A115" s="1"/>
      <c r="B115" s="27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="2" customFormat="1" ht="14.25" spans="1:16">
      <c r="A116" s="1"/>
      <c r="B116" s="27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="2" customFormat="1" ht="14.25" spans="1:16">
      <c r="A117" s="1"/>
      <c r="B117" s="27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="2" customFormat="1" ht="14.25" spans="1:16">
      <c r="A118" s="1"/>
      <c r="B118" s="27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="2" customFormat="1" ht="14.25" spans="1:16">
      <c r="A119" s="1"/>
      <c r="B119" s="27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="2" customFormat="1" ht="14.25" spans="1:16">
      <c r="A120" s="1"/>
      <c r="B120" s="27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="2" customFormat="1" ht="14.25" spans="1:16">
      <c r="A121" s="1"/>
      <c r="B121" s="27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="2" customFormat="1" ht="14.25" spans="1:16">
      <c r="A122" s="1"/>
      <c r="B122" s="27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="2" customFormat="1" ht="14.25" spans="1:16">
      <c r="A123" s="1"/>
      <c r="B123" s="27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="2" customFormat="1" ht="14.25" spans="1:16">
      <c r="A124" s="1"/>
      <c r="B124" s="27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="2" customFormat="1" ht="14.25" spans="1:16">
      <c r="A125" s="1"/>
      <c r="B125" s="27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="2" customFormat="1" ht="14.25" spans="1:16">
      <c r="A126" s="1"/>
      <c r="B126" s="27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="2" customFormat="1" ht="14.25" spans="1:16">
      <c r="A127" s="1"/>
      <c r="B127" s="27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="2" customFormat="1" ht="14.25" spans="1:16">
      <c r="A128" s="1"/>
      <c r="B128" s="27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="2" customFormat="1" ht="14.25" spans="1:16">
      <c r="A129" s="1"/>
      <c r="B129" s="27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="2" customFormat="1" ht="14.25" spans="1:16">
      <c r="A130" s="1"/>
      <c r="B130" s="27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="2" customFormat="1" ht="14.25" spans="1:16">
      <c r="A131" s="1"/>
      <c r="B131" s="27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="2" customFormat="1" ht="14.25" spans="1:16">
      <c r="A132" s="1"/>
      <c r="B132" s="27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="2" customFormat="1" ht="14.25" spans="1:16">
      <c r="A133" s="1"/>
      <c r="B133" s="27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="2" customFormat="1" ht="14.25" spans="1:16">
      <c r="A134" s="1"/>
      <c r="B134" s="27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="2" customFormat="1" ht="14.25" spans="1:16">
      <c r="A135" s="1"/>
      <c r="B135" s="27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="2" customFormat="1" ht="14.25" spans="1:16">
      <c r="A136" s="1"/>
      <c r="B136" s="27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="2" customFormat="1" ht="14.25" spans="1:16">
      <c r="A137" s="1"/>
      <c r="B137" s="2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="2" customFormat="1" ht="14.25" spans="1:16">
      <c r="A138" s="1"/>
      <c r="B138" s="27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="2" customFormat="1" ht="14.25" spans="1:16">
      <c r="A139" s="1"/>
      <c r="B139" s="27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="2" customFormat="1" ht="14.25" spans="1:16">
      <c r="A140" s="1"/>
      <c r="B140" s="27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="2" customFormat="1" ht="14.25" spans="1:16">
      <c r="A141" s="1"/>
      <c r="B141" s="27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="2" customFormat="1" ht="14.25" spans="1:16">
      <c r="A142" s="1"/>
      <c r="B142" s="27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="2" customFormat="1" ht="14.25" spans="1:16">
      <c r="A143" s="1"/>
      <c r="B143" s="27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="2" customFormat="1" ht="14.25" spans="1:16">
      <c r="A144" s="1"/>
      <c r="B144" s="27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="2" customFormat="1" ht="14.25" spans="1:16">
      <c r="A145" s="1"/>
      <c r="B145" s="27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="2" customFormat="1" ht="14.25" spans="1:16">
      <c r="A146" s="1"/>
      <c r="B146" s="27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="2" customFormat="1" ht="14.25" spans="1:16">
      <c r="A147" s="1"/>
      <c r="B147" s="2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="2" customFormat="1" ht="14.25" spans="1:16">
      <c r="A148" s="1"/>
      <c r="B148" s="27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="2" customFormat="1" ht="14.25" spans="1:16">
      <c r="A149" s="1"/>
      <c r="B149" s="27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="2" customFormat="1" ht="14.25" spans="1:16">
      <c r="A150" s="1"/>
      <c r="B150" s="27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="2" customFormat="1" ht="14.25" spans="1:16">
      <c r="A151" s="1"/>
      <c r="B151" s="27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="2" customFormat="1" ht="14.25" spans="1:16">
      <c r="A152" s="1"/>
      <c r="B152" s="27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="2" customFormat="1" ht="14.25" spans="1:16">
      <c r="A153" s="1"/>
      <c r="B153" s="27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="2" customFormat="1" ht="14.25" spans="1:16">
      <c r="A154" s="1"/>
      <c r="B154" s="27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="2" customFormat="1" ht="14.25" spans="1:16">
      <c r="A155" s="1"/>
      <c r="B155" s="27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="2" customFormat="1" ht="14.25" spans="1:16">
      <c r="A156" s="1"/>
      <c r="B156" s="27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="2" customFormat="1" ht="14.25" spans="1:16">
      <c r="A157" s="1"/>
      <c r="B157" s="2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="2" customFormat="1" ht="14.25" spans="1:16">
      <c r="A158" s="1"/>
      <c r="B158" s="27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="2" customFormat="1" ht="14.25" spans="1:16">
      <c r="A159" s="1"/>
      <c r="B159" s="27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="2" customFormat="1" ht="14.25" spans="1:16">
      <c r="A160" s="1"/>
      <c r="B160" s="27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="2" customFormat="1" ht="14.25" spans="1:16">
      <c r="A161" s="1"/>
      <c r="B161" s="27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="2" customFormat="1" ht="14.25" spans="1:16">
      <c r="A162" s="1"/>
      <c r="B162" s="27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="2" customFormat="1" ht="14.25" spans="1:16">
      <c r="A163" s="1"/>
      <c r="B163" s="27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="2" customFormat="1" ht="14.25" spans="1:16">
      <c r="A164" s="1"/>
      <c r="B164" s="27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="2" customFormat="1" ht="14.25" spans="1:16">
      <c r="A165" s="1"/>
      <c r="B165" s="27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="2" customFormat="1" ht="14.25" spans="1:16">
      <c r="A166" s="1"/>
      <c r="B166" s="27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="2" customFormat="1" ht="14.25" spans="1:16">
      <c r="A167" s="1"/>
      <c r="B167" s="2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="2" customFormat="1" ht="14.25" spans="1:16">
      <c r="A168" s="1"/>
      <c r="B168" s="27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="2" customFormat="1" ht="14.25" spans="1:16">
      <c r="A169" s="1"/>
      <c r="B169" s="27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="2" customFormat="1" ht="14.25" spans="1:16">
      <c r="A170" s="1"/>
      <c r="B170" s="27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="2" customFormat="1" ht="14.25" spans="1:16">
      <c r="A171" s="1"/>
      <c r="B171" s="27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="2" customFormat="1" ht="14.25" spans="1:16">
      <c r="A172" s="1"/>
      <c r="B172" s="27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="2" customFormat="1" ht="14.25" spans="1:16">
      <c r="A173" s="1"/>
      <c r="B173" s="27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="2" customFormat="1" ht="14.25" spans="1:16">
      <c r="A174" s="1"/>
      <c r="B174" s="27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="2" customFormat="1" ht="14.25" spans="1:16">
      <c r="A175" s="1"/>
      <c r="B175" s="27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="2" customFormat="1" ht="14.25" spans="1:16">
      <c r="A176" s="1"/>
      <c r="B176" s="27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="2" customFormat="1" ht="14.25" spans="1:16">
      <c r="A177" s="1"/>
      <c r="B177" s="27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="2" customFormat="1" ht="14.25" spans="1:16">
      <c r="A178" s="1"/>
      <c r="B178" s="27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="2" customFormat="1" ht="14.25" spans="1:16">
      <c r="A179" s="1"/>
      <c r="B179" s="27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="2" customFormat="1" ht="14.25" spans="1:16">
      <c r="A180" s="1"/>
      <c r="B180" s="27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="2" customFormat="1" ht="14.25" spans="1:16">
      <c r="A181" s="1"/>
      <c r="B181" s="27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="2" customFormat="1" ht="14.25" spans="1:16">
      <c r="A182" s="1"/>
      <c r="B182" s="27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="2" customFormat="1" ht="14.25" spans="1:16">
      <c r="A183" s="1"/>
      <c r="B183" s="27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="2" customFormat="1" ht="14.25" spans="1:16">
      <c r="A184" s="1"/>
      <c r="B184" s="27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="2" customFormat="1" ht="14.25" spans="1:16">
      <c r="A185" s="1"/>
      <c r="B185" s="27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="2" customFormat="1" ht="14.25" spans="1:16">
      <c r="A186" s="1"/>
      <c r="B186" s="27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="2" customFormat="1" ht="14.25" spans="1:16">
      <c r="A187" s="1"/>
      <c r="B187" s="27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="2" customFormat="1" ht="14.25" spans="1:16">
      <c r="A188" s="1"/>
      <c r="B188" s="27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="2" customFormat="1" ht="14.25" spans="1:16">
      <c r="A189" s="1"/>
      <c r="B189" s="27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="2" customFormat="1" ht="14.25" spans="1:16">
      <c r="A190" s="1"/>
      <c r="B190" s="27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="2" customFormat="1" ht="14.25" spans="1:16">
      <c r="A191" s="1"/>
      <c r="B191" s="27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="2" customFormat="1" ht="14.25" spans="1:16">
      <c r="A192" s="1"/>
      <c r="B192" s="27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="2" customFormat="1" ht="14.25" spans="1:16">
      <c r="A193" s="1"/>
      <c r="B193" s="27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="2" customFormat="1" ht="14.25" spans="1:16">
      <c r="A194" s="1"/>
      <c r="B194" s="27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="2" customFormat="1" ht="14.25" spans="1:16">
      <c r="A195" s="1"/>
      <c r="B195" s="27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="2" customFormat="1" ht="14.25" spans="1:16">
      <c r="A196" s="1"/>
      <c r="B196" s="27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="2" customFormat="1" ht="14.25" spans="1:16">
      <c r="A197" s="1"/>
      <c r="B197" s="27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="2" customFormat="1" ht="14.25" spans="1:16">
      <c r="A198" s="1"/>
      <c r="B198" s="27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="2" customFormat="1" ht="14.25" spans="1:16">
      <c r="A199" s="1"/>
      <c r="B199" s="27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="2" customFormat="1" ht="14.25" spans="1:16">
      <c r="A200" s="1"/>
      <c r="B200" s="27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="2" customFormat="1" ht="14.25" spans="1:16">
      <c r="A201" s="1"/>
      <c r="B201" s="27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="2" customFormat="1" ht="14.25" spans="1:16">
      <c r="A202" s="1"/>
      <c r="B202" s="27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="2" customFormat="1" ht="14.25" spans="1:16">
      <c r="A203" s="1"/>
      <c r="B203" s="27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="2" customFormat="1" ht="14.25" spans="1:16">
      <c r="A204" s="1"/>
      <c r="B204" s="27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="2" customFormat="1" ht="14.25" spans="1:16">
      <c r="A205" s="1"/>
      <c r="B205" s="27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="2" customFormat="1" ht="14.25" spans="1:16">
      <c r="A206" s="1"/>
      <c r="B206" s="27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="2" customFormat="1" ht="14.25" spans="1:16">
      <c r="A207" s="1"/>
      <c r="B207" s="27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="2" customFormat="1" ht="14.25" spans="1:16">
      <c r="A208" s="1"/>
      <c r="B208" s="27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="2" customFormat="1" ht="14.25" spans="1:16">
      <c r="A209" s="1"/>
      <c r="B209" s="27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="2" customFormat="1" ht="14.25" spans="1:16">
      <c r="A210" s="1"/>
      <c r="B210" s="27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="2" customFormat="1" ht="14.25" spans="1:16">
      <c r="A211" s="1"/>
      <c r="B211" s="27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="2" customFormat="1" ht="14.25" spans="1:16">
      <c r="A212" s="1"/>
      <c r="B212" s="27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="2" customFormat="1" ht="14.25" spans="1:16">
      <c r="A213" s="1"/>
      <c r="B213" s="27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="2" customFormat="1" ht="14.25" spans="1:16">
      <c r="A214" s="1"/>
      <c r="B214" s="27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="2" customFormat="1" ht="14.25" spans="1:16">
      <c r="A215" s="1"/>
      <c r="B215" s="27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="2" customFormat="1" ht="14.25" spans="1:16">
      <c r="A216" s="1"/>
      <c r="B216" s="27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="2" customFormat="1" ht="14.25" spans="1:16">
      <c r="A217" s="1"/>
      <c r="B217" s="27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="2" customFormat="1" ht="14.25" spans="1:16">
      <c r="A218" s="1"/>
      <c r="B218" s="27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="2" customFormat="1" ht="14.25" spans="1:16">
      <c r="A219" s="1"/>
      <c r="B219" s="27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="2" customFormat="1" ht="14.25" spans="1:16">
      <c r="A220" s="1"/>
      <c r="B220" s="27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</sheetData>
  <mergeCells count="18">
    <mergeCell ref="A1:J1"/>
    <mergeCell ref="R1:AA1"/>
    <mergeCell ref="F2:I2"/>
    <mergeCell ref="V2:X2"/>
    <mergeCell ref="F108:I108"/>
    <mergeCell ref="A2:A3"/>
    <mergeCell ref="B2:B3"/>
    <mergeCell ref="C2:C3"/>
    <mergeCell ref="D2:D3"/>
    <mergeCell ref="E2:E3"/>
    <mergeCell ref="J2:J3"/>
    <mergeCell ref="R2:R3"/>
    <mergeCell ref="S2:S3"/>
    <mergeCell ref="T2:T3"/>
    <mergeCell ref="U2:U3"/>
    <mergeCell ref="Y2:Y3"/>
    <mergeCell ref="Z2:Z3"/>
    <mergeCell ref="AA2:A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2026-01-06T00:58:00Z</dcterms:created>
  <dcterms:modified xsi:type="dcterms:W3CDTF">2026-01-15T01:16:02Z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773981E924584C01854E8911F1A12B2F_11</vt:lpwstr>
  </property>
  <property fmtid="{D5CDD505-2E9C-101B-9397-08002B2CF9AE}" pid="3" name="KSOProductBuildVer">
    <vt:lpwstr>2052-11.1.0.14309</vt:lpwstr>
  </property>
</Properties>
</file>