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<sst xmlns="http://schemas.openxmlformats.org/spreadsheetml/2006/main" count="404" uniqueCount="183">
  <si>
    <t>2023年生产部1-12月接收处置记录统计表</t>
  </si>
  <si>
    <t>废物名称</t>
  </si>
  <si>
    <t>危废代码</t>
  </si>
  <si>
    <t>形态</t>
  </si>
  <si>
    <t>上年结存</t>
  </si>
  <si>
    <t>本年接收量</t>
  </si>
  <si>
    <t>处置量及工艺</t>
  </si>
  <si>
    <t>库存量</t>
  </si>
  <si>
    <t>1#库</t>
  </si>
  <si>
    <t>2#库</t>
  </si>
  <si>
    <t>干化处理</t>
  </si>
  <si>
    <t>罐区</t>
  </si>
  <si>
    <t>料坑</t>
  </si>
  <si>
    <t>固废焚烧</t>
  </si>
  <si>
    <t>废液焚烧</t>
  </si>
  <si>
    <t>清洗大桶</t>
  </si>
  <si>
    <t>釜残杂质</t>
  </si>
  <si>
    <t>271-002-02</t>
  </si>
  <si>
    <t>半固态</t>
  </si>
  <si>
    <t>废有机溶剂</t>
  </si>
  <si>
    <t>液态</t>
  </si>
  <si>
    <t>车间活性炭</t>
  </si>
  <si>
    <t>271-004-02</t>
  </si>
  <si>
    <t>固态</t>
  </si>
  <si>
    <t>实验室废液</t>
  </si>
  <si>
    <t>900-002-03</t>
  </si>
  <si>
    <t>废药品</t>
  </si>
  <si>
    <t>一般废药品</t>
  </si>
  <si>
    <t>釜残</t>
  </si>
  <si>
    <t>263-008-04</t>
  </si>
  <si>
    <t>生化污泥</t>
  </si>
  <si>
    <t>263-011-04</t>
  </si>
  <si>
    <t>900-401-06</t>
  </si>
  <si>
    <t>废有机溶剂及废物</t>
  </si>
  <si>
    <t>900-402-06</t>
  </si>
  <si>
    <t>废溶剂</t>
  </si>
  <si>
    <t>900-404-06</t>
  </si>
  <si>
    <t>废过滤棉</t>
  </si>
  <si>
    <t>900-405-06</t>
  </si>
  <si>
    <t>900-407-06</t>
  </si>
  <si>
    <t>油污水</t>
  </si>
  <si>
    <t>251-001-08</t>
  </si>
  <si>
    <t>清罐污泥</t>
  </si>
  <si>
    <t>废油泥、滤芯</t>
  </si>
  <si>
    <t>251-012-08</t>
  </si>
  <si>
    <t>废溶剂油</t>
  </si>
  <si>
    <t>291-001-08</t>
  </si>
  <si>
    <t>油泥、油脚</t>
  </si>
  <si>
    <t>071-001-08</t>
  </si>
  <si>
    <t>含油泥浆</t>
  </si>
  <si>
    <t>071-002-08</t>
  </si>
  <si>
    <t>含油岩屑</t>
  </si>
  <si>
    <t>HW08废油泥</t>
  </si>
  <si>
    <t>900-200-08</t>
  </si>
  <si>
    <t>含油废水</t>
  </si>
  <si>
    <t>900-199-08</t>
  </si>
  <si>
    <t>油泥</t>
  </si>
  <si>
    <t>900-201-08</t>
  </si>
  <si>
    <t>废机油</t>
  </si>
  <si>
    <t>润滑脂</t>
  </si>
  <si>
    <t>900-209-08</t>
  </si>
  <si>
    <t>水处理浮渣及污泥、
废机油、含油废水</t>
  </si>
  <si>
    <t>900-210-08</t>
  </si>
  <si>
    <t>污油泥（罐）</t>
  </si>
  <si>
    <t>废水处理过程产废油、油泥、浮渣</t>
  </si>
  <si>
    <t>废矿物油</t>
  </si>
  <si>
    <t>900-214-08</t>
  </si>
  <si>
    <t>900-217-08</t>
  </si>
  <si>
    <t>废甘油</t>
  </si>
  <si>
    <t>废液压油</t>
  </si>
  <si>
    <t>900-218-08</t>
  </si>
  <si>
    <t>废冷冻机油</t>
  </si>
  <si>
    <t>900-219-08</t>
  </si>
  <si>
    <t>废矿物油与含矿物油废物</t>
  </si>
  <si>
    <t>900-220-08</t>
  </si>
  <si>
    <t>废油泥</t>
  </si>
  <si>
    <t>900-221-08</t>
  </si>
  <si>
    <t>900-249-08</t>
  </si>
  <si>
    <t>废油桶</t>
  </si>
  <si>
    <t>废矿物油、油泥</t>
  </si>
  <si>
    <t>废水、乳化液</t>
  </si>
  <si>
    <t>900-007-09</t>
  </si>
  <si>
    <t>废乳化液</t>
  </si>
  <si>
    <t>900-006-09</t>
  </si>
  <si>
    <t>砂轮沫</t>
  </si>
  <si>
    <t>废焦油</t>
  </si>
  <si>
    <t>251-013-11</t>
  </si>
  <si>
    <t>煤焦油废钢、焦油渣</t>
  </si>
  <si>
    <t>252-005-11</t>
  </si>
  <si>
    <t>苯酐渣</t>
  </si>
  <si>
    <t>261-013-11</t>
  </si>
  <si>
    <t>煤焦油</t>
  </si>
  <si>
    <t>900-013-11</t>
  </si>
  <si>
    <t>451-003-11</t>
  </si>
  <si>
    <t>废漆渣</t>
  </si>
  <si>
    <t>264-012-12</t>
  </si>
  <si>
    <t>油漆渣</t>
  </si>
  <si>
    <t>900-250-12</t>
  </si>
  <si>
    <t>900-251-12</t>
  </si>
  <si>
    <t>废漆渣、油漆桶</t>
  </si>
  <si>
    <t>900-252-12</t>
  </si>
  <si>
    <t>染料沉淀物</t>
  </si>
  <si>
    <t>900-255-12</t>
  </si>
  <si>
    <t>油墨盒、油墨纸</t>
  </si>
  <si>
    <t>900-253-12</t>
  </si>
  <si>
    <t>油墨渣子</t>
  </si>
  <si>
    <t>900-299-12</t>
  </si>
  <si>
    <t>废油墨</t>
  </si>
  <si>
    <t>264-011-12</t>
  </si>
  <si>
    <t>油墨渣</t>
  </si>
  <si>
    <t>废水处理污泥</t>
  </si>
  <si>
    <t>废漆渣稀释剂混合物</t>
  </si>
  <si>
    <t>264-013-12</t>
  </si>
  <si>
    <t>发泡废料、废胶水</t>
  </si>
  <si>
    <t>900-014-13</t>
  </si>
  <si>
    <t>废胶水</t>
  </si>
  <si>
    <t>废树脂</t>
  </si>
  <si>
    <t>900-015-13</t>
  </si>
  <si>
    <t>有机树脂类废物</t>
  </si>
  <si>
    <t>900-016-13</t>
  </si>
  <si>
    <t>丁二烯聚合物</t>
  </si>
  <si>
    <t>265-101-13</t>
  </si>
  <si>
    <t>不合格有机树脂</t>
  </si>
  <si>
    <t>清罐釜残液</t>
  </si>
  <si>
    <t>265-103-13</t>
  </si>
  <si>
    <t>釜残与滤渣</t>
  </si>
  <si>
    <t>废活性炭、过滤渣</t>
  </si>
  <si>
    <t>蒸发残液</t>
  </si>
  <si>
    <t>265-104-13</t>
  </si>
  <si>
    <t>污泥</t>
  </si>
  <si>
    <t>水处理污泥</t>
  </si>
  <si>
    <t>印刷版</t>
  </si>
  <si>
    <t>231-002-16</t>
  </si>
  <si>
    <t>废显影液</t>
  </si>
  <si>
    <t>398-001-16</t>
  </si>
  <si>
    <t>266-010-16</t>
  </si>
  <si>
    <t>废显定影液</t>
  </si>
  <si>
    <t>900-019-16</t>
  </si>
  <si>
    <t>含铬污泥</t>
  </si>
  <si>
    <t>336-060-17</t>
  </si>
  <si>
    <t>镀铜溶液</t>
  </si>
  <si>
    <t>336-062-17</t>
  </si>
  <si>
    <t>含铜污泥</t>
  </si>
  <si>
    <t>电镀污泥</t>
  </si>
  <si>
    <t>336-063-17</t>
  </si>
  <si>
    <t>废槽渣</t>
  </si>
  <si>
    <t>336-064-17</t>
  </si>
  <si>
    <t>金属表面处理污泥</t>
  </si>
  <si>
    <t>336-069-17</t>
  </si>
  <si>
    <t>废水污泥</t>
  </si>
  <si>
    <t>废UV灯管</t>
  </si>
  <si>
    <t>900-023-29</t>
  </si>
  <si>
    <t>废碱液</t>
  </si>
  <si>
    <t>251-015-35</t>
  </si>
  <si>
    <t>废碱渣、硫氢化钠残渣</t>
  </si>
  <si>
    <t>900-399-35</t>
  </si>
  <si>
    <t>废氨水、清洁剂</t>
  </si>
  <si>
    <t>900-352-35</t>
  </si>
  <si>
    <t>900-354-35</t>
  </si>
  <si>
    <t>含酚废水</t>
  </si>
  <si>
    <t>261-070-39</t>
  </si>
  <si>
    <t>氢氧化铝滤渣、活性炭</t>
  </si>
  <si>
    <t>261-071-39</t>
  </si>
  <si>
    <t>废盐</t>
  </si>
  <si>
    <t>261-084-45</t>
  </si>
  <si>
    <t>含油废物</t>
  </si>
  <si>
    <t>900-041-49</t>
  </si>
  <si>
    <t>废酸碱袋</t>
  </si>
  <si>
    <t>900-042-49</t>
  </si>
  <si>
    <t>废液</t>
  </si>
  <si>
    <t>900-046-49</t>
  </si>
  <si>
    <t>772-006-49</t>
  </si>
  <si>
    <t>硫酸盐、污泥</t>
  </si>
  <si>
    <t>废活性炭</t>
  </si>
  <si>
    <t>900-039-49</t>
  </si>
  <si>
    <t>过期化学药品</t>
  </si>
  <si>
    <t>900-047-49</t>
  </si>
  <si>
    <t>乙腈、异丙酮、废液</t>
  </si>
  <si>
    <t>废化学品</t>
  </si>
  <si>
    <t>900-999-49</t>
  </si>
  <si>
    <t>废胺盐滤渣</t>
  </si>
  <si>
    <t>小计：</t>
  </si>
  <si>
    <t>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</si>
</sst>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  <numFmt numFmtId="178" formatCode="0.000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left" vertical="center"/>
    </xf>
    <xf numFmtId="177" fontId="0" fillId="2" borderId="5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2"/>
  <sheetViews>
    <sheetView tabSelected="1" topLeftCell="A104" workbookViewId="0">
      <selection activeCell="E117" sqref="E117"/>
    </sheetView>
  </sheetViews>
  <sheetFormatPr defaultColWidth="9" defaultRowHeight="13.5"/>
  <cols>
    <col min="1" max="1" width="12.75" style="1" customWidth="1"/>
    <col min="2" max="2" width="11.125" style="1" customWidth="1"/>
    <col min="3" max="3" width="6.5" style="1" customWidth="1"/>
    <col min="4" max="4" width="11.625" style="1" customWidth="1"/>
    <col min="5" max="5" width="13.75" style="1" customWidth="1"/>
    <col min="6" max="6" width="13.625" style="1" customWidth="1"/>
    <col min="7" max="7" width="11.25" style="1" customWidth="1"/>
    <col min="8" max="8" width="11.375" style="1" customWidth="1"/>
    <col min="9" max="9" width="9.25" style="1" customWidth="1"/>
    <col min="10" max="10" width="13.8583333333333" style="1" customWidth="1"/>
    <col min="11" max="11" width="11.125" style="1"/>
    <col min="12" max="12" width="9.25" style="1"/>
    <col min="13" max="13" width="9.375" style="1" customWidth="1"/>
    <col min="14" max="14" width="9.25" style="1"/>
    <col min="15" max="15" width="5.625" style="1" customWidth="1"/>
    <col min="16" max="16" width="10.7083333333333" style="1" customWidth="1"/>
    <col min="17" max="16384" width="9" style="1"/>
  </cols>
  <sheetData>
    <row r="1" s="1" customFormat="1" ht="3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27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6"/>
      <c r="I2" s="22"/>
      <c r="J2" s="4" t="s">
        <v>7</v>
      </c>
      <c r="K2" s="23" t="s">
        <v>8</v>
      </c>
      <c r="L2" s="23" t="s">
        <v>9</v>
      </c>
      <c r="M2" s="23" t="s">
        <v>10</v>
      </c>
      <c r="N2" s="23" t="s">
        <v>11</v>
      </c>
      <c r="O2" s="23" t="s">
        <v>12</v>
      </c>
      <c r="P2" s="23"/>
    </row>
    <row r="3" s="2" customFormat="1" ht="27" customHeight="1" spans="1:16">
      <c r="A3" s="7"/>
      <c r="B3" s="7"/>
      <c r="C3" s="7"/>
      <c r="D3" s="7"/>
      <c r="E3" s="7"/>
      <c r="F3" s="8" t="s">
        <v>13</v>
      </c>
      <c r="G3" s="8" t="s">
        <v>14</v>
      </c>
      <c r="H3" s="8" t="s">
        <v>15</v>
      </c>
      <c r="I3" s="8" t="s">
        <v>11</v>
      </c>
      <c r="J3" s="7"/>
      <c r="K3" s="23" t="s">
        <v>8</v>
      </c>
      <c r="L3" s="23" t="s">
        <v>9</v>
      </c>
      <c r="M3" s="23" t="s">
        <v>10</v>
      </c>
      <c r="N3" s="23" t="s">
        <v>11</v>
      </c>
      <c r="O3" s="23" t="s">
        <v>12</v>
      </c>
      <c r="P3" s="23"/>
    </row>
    <row r="4" s="2" customFormat="1" ht="18" customHeight="1" spans="1:16">
      <c r="A4" s="9" t="s">
        <v>16</v>
      </c>
      <c r="B4" s="8" t="s">
        <v>17</v>
      </c>
      <c r="C4" s="8" t="s">
        <v>18</v>
      </c>
      <c r="D4" s="8">
        <v>0</v>
      </c>
      <c r="E4" s="8">
        <f>66.54</f>
        <v>66.54</v>
      </c>
      <c r="F4" s="8"/>
      <c r="G4" s="8">
        <f>16.25</f>
        <v>16.25</v>
      </c>
      <c r="H4" s="8"/>
      <c r="I4" s="8"/>
      <c r="J4" s="8">
        <f t="shared" ref="J4:J67" si="0">D4+E4-F4-G4-H4-I4</f>
        <v>50.29</v>
      </c>
      <c r="K4" s="24"/>
      <c r="L4" s="24">
        <v>17.25</v>
      </c>
      <c r="M4" s="24"/>
      <c r="N4" s="24">
        <v>33.04</v>
      </c>
      <c r="O4" s="24"/>
      <c r="P4" s="24">
        <f t="shared" ref="P4:P67" si="1">K4+L4+M4+N4+O4</f>
        <v>50.29</v>
      </c>
    </row>
    <row r="5" s="2" customFormat="1" ht="18" customHeight="1" spans="1:16">
      <c r="A5" s="9" t="s">
        <v>19</v>
      </c>
      <c r="B5" s="8" t="s">
        <v>17</v>
      </c>
      <c r="C5" s="8" t="s">
        <v>20</v>
      </c>
      <c r="D5" s="8">
        <v>0</v>
      </c>
      <c r="E5" s="8">
        <f>15.321</f>
        <v>15.321</v>
      </c>
      <c r="F5" s="8"/>
      <c r="G5" s="8"/>
      <c r="H5" s="8"/>
      <c r="I5" s="8"/>
      <c r="J5" s="8">
        <f t="shared" si="0"/>
        <v>15.321</v>
      </c>
      <c r="K5" s="24"/>
      <c r="L5" s="24">
        <v>15.321</v>
      </c>
      <c r="M5" s="24"/>
      <c r="N5" s="24"/>
      <c r="O5" s="24"/>
      <c r="P5" s="24">
        <f t="shared" si="1"/>
        <v>15.321</v>
      </c>
    </row>
    <row r="6" s="2" customFormat="1" ht="18" customHeight="1" spans="1:16">
      <c r="A6" s="9" t="s">
        <v>21</v>
      </c>
      <c r="B6" s="8" t="s">
        <v>22</v>
      </c>
      <c r="C6" s="8" t="s">
        <v>23</v>
      </c>
      <c r="D6" s="8">
        <v>0</v>
      </c>
      <c r="E6" s="8">
        <f>0.5</f>
        <v>0.5</v>
      </c>
      <c r="F6" s="8">
        <f>0.5</f>
        <v>0.5</v>
      </c>
      <c r="G6" s="8"/>
      <c r="H6" s="8"/>
      <c r="I6" s="8"/>
      <c r="J6" s="8">
        <f t="shared" si="0"/>
        <v>0</v>
      </c>
      <c r="K6" s="24"/>
      <c r="L6" s="24"/>
      <c r="M6" s="24"/>
      <c r="N6" s="24"/>
      <c r="O6" s="24"/>
      <c r="P6" s="24">
        <f t="shared" si="1"/>
        <v>0</v>
      </c>
    </row>
    <row r="7" s="2" customFormat="1" ht="18" customHeight="1" spans="1:16">
      <c r="A7" s="10" t="s">
        <v>24</v>
      </c>
      <c r="B7" s="8" t="s">
        <v>25</v>
      </c>
      <c r="C7" s="8" t="s">
        <v>20</v>
      </c>
      <c r="D7" s="8">
        <v>110.26</v>
      </c>
      <c r="E7" s="8">
        <f>23.008+33.117+25.509+31.282+31.356+16.02+10.5+27.001+3.904+17.161+15.5</f>
        <v>234.358</v>
      </c>
      <c r="F7" s="11">
        <f>0.008+0.235+0.336+0.001+0.004+0.161</f>
        <v>0.745</v>
      </c>
      <c r="G7" s="11">
        <f>15.017+32.809+27.442+34.101+27.254+56.35+25.2+0.8</f>
        <v>218.973</v>
      </c>
      <c r="H7" s="11"/>
      <c r="I7" s="8"/>
      <c r="J7" s="8">
        <f t="shared" si="0"/>
        <v>124.9</v>
      </c>
      <c r="K7" s="24"/>
      <c r="L7" s="24">
        <v>124.9</v>
      </c>
      <c r="M7" s="24"/>
      <c r="N7" s="24"/>
      <c r="O7" s="24"/>
      <c r="P7" s="24">
        <f t="shared" si="1"/>
        <v>124.9</v>
      </c>
    </row>
    <row r="8" s="2" customFormat="1" ht="18" customHeight="1" spans="1:16">
      <c r="A8" s="10" t="s">
        <v>26</v>
      </c>
      <c r="B8" s="8" t="s">
        <v>25</v>
      </c>
      <c r="C8" s="8" t="s">
        <v>18</v>
      </c>
      <c r="D8" s="8">
        <v>0</v>
      </c>
      <c r="E8" s="8">
        <f>0.355+0.255+0.307+1.055+0.264+3.75</f>
        <v>5.986</v>
      </c>
      <c r="F8" s="11">
        <f>0.355+0.255+0.107+0.52+0.999+3.75</f>
        <v>5.986</v>
      </c>
      <c r="G8" s="11"/>
      <c r="H8" s="11"/>
      <c r="I8" s="8"/>
      <c r="J8" s="8">
        <f t="shared" si="0"/>
        <v>0</v>
      </c>
      <c r="K8" s="24"/>
      <c r="L8" s="24"/>
      <c r="M8" s="24"/>
      <c r="N8" s="24"/>
      <c r="O8" s="24"/>
      <c r="P8" s="24">
        <f t="shared" si="1"/>
        <v>0</v>
      </c>
    </row>
    <row r="9" s="2" customFormat="1" ht="18" customHeight="1" spans="1:16">
      <c r="A9" s="10" t="s">
        <v>27</v>
      </c>
      <c r="B9" s="8" t="s">
        <v>25</v>
      </c>
      <c r="C9" s="8" t="s">
        <v>23</v>
      </c>
      <c r="D9" s="8">
        <v>0</v>
      </c>
      <c r="E9" s="8">
        <f>1+4.676+1+2+8.4776+1.1+0.4969+1.5+10.9+0.5+3.44</f>
        <v>35.0905</v>
      </c>
      <c r="F9" s="11">
        <f>3.5+3.176+1.5+2.0776+1.4+0.4969+8.1+10.9+0.5+0.4</f>
        <v>32.0505</v>
      </c>
      <c r="G9" s="11"/>
      <c r="H9" s="11"/>
      <c r="I9" s="8"/>
      <c r="J9" s="8">
        <f t="shared" si="0"/>
        <v>3.04</v>
      </c>
      <c r="K9" s="24"/>
      <c r="L9" s="24">
        <v>3.04</v>
      </c>
      <c r="M9" s="24"/>
      <c r="N9" s="24"/>
      <c r="O9" s="24"/>
      <c r="P9" s="24">
        <f t="shared" si="1"/>
        <v>3.04</v>
      </c>
    </row>
    <row r="10" s="2" customFormat="1" ht="18" customHeight="1" spans="1:16">
      <c r="A10" s="10" t="s">
        <v>28</v>
      </c>
      <c r="B10" s="8" t="s">
        <v>29</v>
      </c>
      <c r="C10" s="8" t="s">
        <v>23</v>
      </c>
      <c r="D10" s="8">
        <v>0</v>
      </c>
      <c r="E10" s="8">
        <f>6.34+19.18+28.98+24.12+26.88</f>
        <v>105.5</v>
      </c>
      <c r="F10" s="11">
        <f>6.34+48.16+24.12</f>
        <v>78.62</v>
      </c>
      <c r="G10" s="11"/>
      <c r="H10" s="11"/>
      <c r="I10" s="8"/>
      <c r="J10" s="8">
        <f t="shared" si="0"/>
        <v>26.88</v>
      </c>
      <c r="K10" s="24"/>
      <c r="L10" s="24">
        <v>26.88</v>
      </c>
      <c r="M10" s="24"/>
      <c r="N10" s="24"/>
      <c r="O10" s="24"/>
      <c r="P10" s="24">
        <f t="shared" si="1"/>
        <v>26.88</v>
      </c>
    </row>
    <row r="11" s="2" customFormat="1" ht="18" customHeight="1" spans="1:16">
      <c r="A11" s="10" t="s">
        <v>28</v>
      </c>
      <c r="B11" s="8" t="s">
        <v>29</v>
      </c>
      <c r="C11" s="8" t="s">
        <v>18</v>
      </c>
      <c r="D11" s="8">
        <v>0</v>
      </c>
      <c r="E11" s="8">
        <f>25.38+3.78</f>
        <v>29.16</v>
      </c>
      <c r="F11" s="11">
        <f>21.38+4</f>
        <v>25.38</v>
      </c>
      <c r="G11" s="11"/>
      <c r="H11" s="11"/>
      <c r="I11" s="8"/>
      <c r="J11" s="8">
        <f t="shared" si="0"/>
        <v>3.78</v>
      </c>
      <c r="K11" s="24">
        <v>3.78</v>
      </c>
      <c r="L11" s="24"/>
      <c r="M11" s="24"/>
      <c r="N11" s="24"/>
      <c r="O11" s="24"/>
      <c r="P11" s="24">
        <f t="shared" si="1"/>
        <v>3.78</v>
      </c>
    </row>
    <row r="12" s="2" customFormat="1" ht="18" customHeight="1" spans="1:16">
      <c r="A12" s="10" t="s">
        <v>30</v>
      </c>
      <c r="B12" s="8" t="s">
        <v>31</v>
      </c>
      <c r="C12" s="8" t="s">
        <v>23</v>
      </c>
      <c r="D12" s="8">
        <v>0</v>
      </c>
      <c r="E12" s="8">
        <f>3.32+6.58+2.48+4.98+4.64</f>
        <v>22</v>
      </c>
      <c r="F12" s="11">
        <f>3.32+6.58+2.48+4.98</f>
        <v>17.36</v>
      </c>
      <c r="G12" s="11"/>
      <c r="H12" s="11"/>
      <c r="I12" s="8"/>
      <c r="J12" s="8">
        <f t="shared" si="0"/>
        <v>4.64</v>
      </c>
      <c r="K12" s="24"/>
      <c r="L12" s="24">
        <v>4.64</v>
      </c>
      <c r="M12" s="24"/>
      <c r="N12" s="24"/>
      <c r="O12" s="24"/>
      <c r="P12" s="24">
        <f t="shared" si="1"/>
        <v>4.64</v>
      </c>
    </row>
    <row r="13" s="2" customFormat="1" ht="18" customHeight="1" spans="1:16">
      <c r="A13" s="12" t="s">
        <v>19</v>
      </c>
      <c r="B13" s="4" t="s">
        <v>32</v>
      </c>
      <c r="C13" s="8" t="s">
        <v>20</v>
      </c>
      <c r="D13" s="8">
        <v>1.86</v>
      </c>
      <c r="E13" s="8">
        <f>0.86</f>
        <v>0.86</v>
      </c>
      <c r="F13" s="11">
        <f>1.86</f>
        <v>1.86</v>
      </c>
      <c r="G13" s="11"/>
      <c r="H13" s="11"/>
      <c r="I13" s="8"/>
      <c r="J13" s="8">
        <f t="shared" si="0"/>
        <v>0.86</v>
      </c>
      <c r="K13" s="24"/>
      <c r="L13" s="24">
        <v>0.86</v>
      </c>
      <c r="M13" s="24"/>
      <c r="N13" s="24"/>
      <c r="O13" s="24"/>
      <c r="P13" s="24">
        <f t="shared" si="1"/>
        <v>0.86</v>
      </c>
    </row>
    <row r="14" s="2" customFormat="1" ht="18" customHeight="1" spans="1:16">
      <c r="A14" s="10" t="s">
        <v>33</v>
      </c>
      <c r="B14" s="8" t="s">
        <v>34</v>
      </c>
      <c r="C14" s="8" t="s">
        <v>20</v>
      </c>
      <c r="D14" s="8">
        <v>107.338</v>
      </c>
      <c r="E14" s="8">
        <f>4.724+2.072+90.211+5.8757+13.868+37.62+25.464+82.42</f>
        <v>262.2547</v>
      </c>
      <c r="F14" s="11">
        <f>6+11.78+38.22+10.27+0.8+19.883+0.0037+21.16+12.248+30.94</f>
        <v>151.3047</v>
      </c>
      <c r="G14" s="11">
        <f>16.024+26.72+8.632+10+37.08</f>
        <v>98.456</v>
      </c>
      <c r="H14" s="11"/>
      <c r="I14" s="8"/>
      <c r="J14" s="8">
        <f t="shared" si="0"/>
        <v>119.832</v>
      </c>
      <c r="K14" s="24">
        <v>14.282</v>
      </c>
      <c r="L14" s="24">
        <v>105.55</v>
      </c>
      <c r="M14" s="24"/>
      <c r="N14" s="24"/>
      <c r="O14" s="24"/>
      <c r="P14" s="24">
        <f t="shared" si="1"/>
        <v>119.832</v>
      </c>
    </row>
    <row r="15" s="2" customFormat="1" ht="18" customHeight="1" spans="1:16">
      <c r="A15" s="9" t="s">
        <v>35</v>
      </c>
      <c r="B15" s="13" t="s">
        <v>36</v>
      </c>
      <c r="C15" s="8" t="s">
        <v>20</v>
      </c>
      <c r="D15" s="8">
        <v>3.1809999999999</v>
      </c>
      <c r="E15" s="8">
        <f>1.56+20.774+0.6+6.308+16.029+0.26+3.8468+10.45+21.608-10.46</f>
        <v>70.9758</v>
      </c>
      <c r="F15" s="11">
        <f>0.781+1.56+1.5+2.7+4.897</f>
        <v>11.438</v>
      </c>
      <c r="G15" s="11">
        <f>0.6+1.6+0.674+4.7+3.4068</f>
        <v>10.9808</v>
      </c>
      <c r="H15" s="11"/>
      <c r="I15" s="8"/>
      <c r="J15" s="8">
        <f t="shared" si="0"/>
        <v>51.7379999999999</v>
      </c>
      <c r="K15" s="24">
        <v>9.888</v>
      </c>
      <c r="L15" s="24">
        <f>52.31-10.46</f>
        <v>41.85</v>
      </c>
      <c r="M15" s="24"/>
      <c r="N15" s="24"/>
      <c r="O15" s="24"/>
      <c r="P15" s="24">
        <f t="shared" si="1"/>
        <v>51.738</v>
      </c>
    </row>
    <row r="16" s="2" customFormat="1" ht="18" customHeight="1" spans="1:16">
      <c r="A16" s="9" t="s">
        <v>37</v>
      </c>
      <c r="B16" s="13" t="s">
        <v>38</v>
      </c>
      <c r="C16" s="8" t="s">
        <v>23</v>
      </c>
      <c r="D16" s="8">
        <v>0</v>
      </c>
      <c r="E16" s="8">
        <f>0.02+0.01</f>
        <v>0.03</v>
      </c>
      <c r="F16" s="11">
        <f>0.02</f>
        <v>0.02</v>
      </c>
      <c r="G16" s="11"/>
      <c r="H16" s="11"/>
      <c r="I16" s="8"/>
      <c r="J16" s="8">
        <f t="shared" si="0"/>
        <v>0.01</v>
      </c>
      <c r="K16" s="24"/>
      <c r="L16" s="24">
        <v>0.01</v>
      </c>
      <c r="M16" s="24"/>
      <c r="N16" s="24"/>
      <c r="O16" s="24"/>
      <c r="P16" s="24">
        <f t="shared" si="1"/>
        <v>0.01</v>
      </c>
    </row>
    <row r="17" s="2" customFormat="1" ht="18" customHeight="1" spans="1:16">
      <c r="A17" s="14" t="s">
        <v>19</v>
      </c>
      <c r="B17" s="13" t="s">
        <v>39</v>
      </c>
      <c r="C17" s="8" t="s">
        <v>20</v>
      </c>
      <c r="D17" s="8">
        <v>0</v>
      </c>
      <c r="E17" s="8">
        <f>142.79+17.51+63.5+32.528+0.00528</f>
        <v>256.33328</v>
      </c>
      <c r="F17" s="11">
        <f>11.02+10</f>
        <v>21.02</v>
      </c>
      <c r="G17" s="11">
        <f>84.91+94.25328</f>
        <v>179.16328</v>
      </c>
      <c r="H17" s="11"/>
      <c r="I17" s="8"/>
      <c r="J17" s="8">
        <f t="shared" si="0"/>
        <v>56.15</v>
      </c>
      <c r="K17" s="24">
        <v>56.15</v>
      </c>
      <c r="L17" s="24"/>
      <c r="M17" s="24"/>
      <c r="N17" s="24"/>
      <c r="O17" s="24"/>
      <c r="P17" s="24">
        <f t="shared" si="1"/>
        <v>56.15</v>
      </c>
    </row>
    <row r="18" s="2" customFormat="1" ht="18" customHeight="1" spans="1:16">
      <c r="A18" s="14" t="s">
        <v>40</v>
      </c>
      <c r="B18" s="13" t="s">
        <v>41</v>
      </c>
      <c r="C18" s="8" t="s">
        <v>20</v>
      </c>
      <c r="D18" s="8">
        <v>0</v>
      </c>
      <c r="E18" s="8">
        <f>6.5</f>
        <v>6.5</v>
      </c>
      <c r="F18" s="11"/>
      <c r="G18" s="11"/>
      <c r="H18" s="11"/>
      <c r="I18" s="8"/>
      <c r="J18" s="8">
        <f t="shared" si="0"/>
        <v>6.5</v>
      </c>
      <c r="K18" s="24"/>
      <c r="L18" s="24">
        <v>6.5</v>
      </c>
      <c r="M18" s="24"/>
      <c r="N18" s="24"/>
      <c r="O18" s="24"/>
      <c r="P18" s="24">
        <f t="shared" si="1"/>
        <v>6.5</v>
      </c>
    </row>
    <row r="19" s="2" customFormat="1" ht="18" customHeight="1" spans="1:16">
      <c r="A19" s="9" t="s">
        <v>42</v>
      </c>
      <c r="B19" s="13" t="s">
        <v>41</v>
      </c>
      <c r="C19" s="8" t="s">
        <v>18</v>
      </c>
      <c r="D19" s="8">
        <v>0</v>
      </c>
      <c r="E19" s="8">
        <f>20.08</f>
        <v>20.08</v>
      </c>
      <c r="F19" s="11">
        <f>20.08</f>
        <v>20.08</v>
      </c>
      <c r="G19" s="11"/>
      <c r="H19" s="11"/>
      <c r="I19" s="8"/>
      <c r="J19" s="8">
        <f t="shared" si="0"/>
        <v>0</v>
      </c>
      <c r="K19" s="24"/>
      <c r="L19" s="24"/>
      <c r="M19" s="24"/>
      <c r="N19" s="24"/>
      <c r="O19" s="24"/>
      <c r="P19" s="24">
        <f t="shared" si="1"/>
        <v>0</v>
      </c>
    </row>
    <row r="20" s="2" customFormat="1" ht="18" customHeight="1" spans="1:16">
      <c r="A20" s="9" t="s">
        <v>43</v>
      </c>
      <c r="B20" s="13" t="s">
        <v>44</v>
      </c>
      <c r="C20" s="8" t="s">
        <v>23</v>
      </c>
      <c r="D20" s="8">
        <v>0</v>
      </c>
      <c r="E20" s="8">
        <f>0.78+3.02+0.48</f>
        <v>4.28</v>
      </c>
      <c r="F20" s="11">
        <f>0.78+3.02</f>
        <v>3.8</v>
      </c>
      <c r="G20" s="11"/>
      <c r="H20" s="11"/>
      <c r="I20" s="8"/>
      <c r="J20" s="8">
        <f t="shared" si="0"/>
        <v>0.48</v>
      </c>
      <c r="K20" s="24">
        <v>0.48</v>
      </c>
      <c r="L20" s="24"/>
      <c r="M20" s="24"/>
      <c r="N20" s="24"/>
      <c r="O20" s="24"/>
      <c r="P20" s="24">
        <f t="shared" si="1"/>
        <v>0.48</v>
      </c>
    </row>
    <row r="21" s="2" customFormat="1" ht="18" customHeight="1" spans="1:16">
      <c r="A21" s="9" t="s">
        <v>45</v>
      </c>
      <c r="B21" s="13" t="s">
        <v>46</v>
      </c>
      <c r="C21" s="8" t="s">
        <v>18</v>
      </c>
      <c r="D21" s="8">
        <v>0</v>
      </c>
      <c r="E21" s="8">
        <f>28.08</f>
        <v>28.08</v>
      </c>
      <c r="F21" s="11">
        <f>22+6.08</f>
        <v>28.08</v>
      </c>
      <c r="G21" s="11"/>
      <c r="H21" s="11"/>
      <c r="I21" s="8"/>
      <c r="J21" s="8">
        <f t="shared" si="0"/>
        <v>0</v>
      </c>
      <c r="K21" s="24"/>
      <c r="L21" s="24"/>
      <c r="M21" s="24"/>
      <c r="N21" s="24"/>
      <c r="O21" s="24"/>
      <c r="P21" s="24">
        <f t="shared" si="1"/>
        <v>0</v>
      </c>
    </row>
    <row r="22" s="2" customFormat="1" ht="18" customHeight="1" spans="1:16">
      <c r="A22" s="14" t="s">
        <v>45</v>
      </c>
      <c r="B22" s="13" t="s">
        <v>46</v>
      </c>
      <c r="C22" s="15" t="s">
        <v>20</v>
      </c>
      <c r="D22" s="8">
        <v>36.624</v>
      </c>
      <c r="E22" s="8">
        <f>1.9+29.94</f>
        <v>31.84</v>
      </c>
      <c r="F22" s="11"/>
      <c r="G22" s="11">
        <f>34.72+1.904+1.9</f>
        <v>38.524</v>
      </c>
      <c r="H22" s="11"/>
      <c r="I22" s="8"/>
      <c r="J22" s="8">
        <f t="shared" si="0"/>
        <v>29.94</v>
      </c>
      <c r="K22" s="24"/>
      <c r="L22" s="24"/>
      <c r="M22" s="24"/>
      <c r="N22" s="24">
        <v>29.94</v>
      </c>
      <c r="O22" s="24"/>
      <c r="P22" s="24">
        <f t="shared" si="1"/>
        <v>29.94</v>
      </c>
    </row>
    <row r="23" s="2" customFormat="1" ht="18" customHeight="1" spans="1:16">
      <c r="A23" s="9" t="s">
        <v>47</v>
      </c>
      <c r="B23" s="13" t="s">
        <v>48</v>
      </c>
      <c r="C23" s="8" t="s">
        <v>20</v>
      </c>
      <c r="D23" s="8">
        <v>0</v>
      </c>
      <c r="E23" s="8">
        <f>16+8+8+8</f>
        <v>40</v>
      </c>
      <c r="F23" s="11">
        <f>16+8</f>
        <v>24</v>
      </c>
      <c r="G23" s="11">
        <f>8+7+1</f>
        <v>16</v>
      </c>
      <c r="H23" s="11"/>
      <c r="I23" s="8"/>
      <c r="J23" s="8">
        <f t="shared" si="0"/>
        <v>0</v>
      </c>
      <c r="K23" s="24"/>
      <c r="L23" s="24"/>
      <c r="M23" s="24"/>
      <c r="N23" s="24"/>
      <c r="O23" s="24"/>
      <c r="P23" s="24">
        <f t="shared" si="1"/>
        <v>0</v>
      </c>
    </row>
    <row r="24" s="2" customFormat="1" ht="18" customHeight="1" spans="1:16">
      <c r="A24" s="9" t="s">
        <v>49</v>
      </c>
      <c r="B24" s="43" t="s">
        <v>50</v>
      </c>
      <c r="C24" s="4" t="s">
        <v>20</v>
      </c>
      <c r="D24" s="8">
        <v>0</v>
      </c>
      <c r="E24" s="8">
        <f>17.6+305.8+668.8+508.2+118.8-402.6</f>
        <v>1216.6</v>
      </c>
      <c r="F24" s="11"/>
      <c r="G24" s="11"/>
      <c r="H24" s="11"/>
      <c r="I24" s="8"/>
      <c r="J24" s="8">
        <f t="shared" si="0"/>
        <v>1216.6</v>
      </c>
      <c r="K24" s="24"/>
      <c r="L24" s="24"/>
      <c r="M24" s="24"/>
      <c r="N24" s="24">
        <f>1619.2-402.6</f>
        <v>1216.6</v>
      </c>
      <c r="O24" s="24"/>
      <c r="P24" s="24">
        <f t="shared" si="1"/>
        <v>1216.6</v>
      </c>
    </row>
    <row r="25" s="2" customFormat="1" ht="18" customHeight="1" spans="1:16">
      <c r="A25" s="9" t="s">
        <v>51</v>
      </c>
      <c r="B25" s="43" t="s">
        <v>50</v>
      </c>
      <c r="C25" s="12" t="s">
        <v>18</v>
      </c>
      <c r="D25" s="8">
        <v>3481.95</v>
      </c>
      <c r="E25" s="8">
        <f>332.65+192.19+576.59+14.78+229.15+421.34+487.87+583.96+931.39+798.33+177.41+170.016-487.87</f>
        <v>4427.806</v>
      </c>
      <c r="F25" s="11">
        <f>239.55+178.91+83.44+35.33+104.69+156.24+133.08+175.84+41.01+156.26+114.19-11.08</f>
        <v>1407.46</v>
      </c>
      <c r="G25" s="11"/>
      <c r="H25" s="11"/>
      <c r="I25" s="8">
        <f>1050.07+640.97+427.24+358.19+2717.849+760.33-309.02</f>
        <v>5645.629</v>
      </c>
      <c r="J25" s="8">
        <f t="shared" si="0"/>
        <v>856.667</v>
      </c>
      <c r="K25" s="24"/>
      <c r="L25" s="24"/>
      <c r="M25" s="24">
        <f>364.695-73.51</f>
        <v>291.185</v>
      </c>
      <c r="N25" s="24">
        <f>659.742-94.26</f>
        <v>565.482</v>
      </c>
      <c r="O25" s="24"/>
      <c r="P25" s="24">
        <f t="shared" si="1"/>
        <v>856.667</v>
      </c>
    </row>
    <row r="26" s="2" customFormat="1" ht="18" customHeight="1" spans="1:16">
      <c r="A26" s="10" t="s">
        <v>52</v>
      </c>
      <c r="B26" s="10" t="s">
        <v>53</v>
      </c>
      <c r="C26" s="8" t="s">
        <v>18</v>
      </c>
      <c r="D26" s="8">
        <v>0</v>
      </c>
      <c r="E26" s="8">
        <f>3.95+3</f>
        <v>6.95</v>
      </c>
      <c r="F26" s="11">
        <f>3.95+2+1</f>
        <v>6.95</v>
      </c>
      <c r="G26" s="11"/>
      <c r="H26" s="11"/>
      <c r="I26" s="8"/>
      <c r="J26" s="8">
        <f t="shared" si="0"/>
        <v>0</v>
      </c>
      <c r="K26" s="24"/>
      <c r="L26" s="24"/>
      <c r="M26" s="24"/>
      <c r="N26" s="24"/>
      <c r="O26" s="24"/>
      <c r="P26" s="24">
        <f t="shared" si="1"/>
        <v>0</v>
      </c>
    </row>
    <row r="27" s="2" customFormat="1" ht="18" customHeight="1" spans="1:16">
      <c r="A27" s="10" t="s">
        <v>52</v>
      </c>
      <c r="B27" s="10" t="s">
        <v>53</v>
      </c>
      <c r="C27" s="8" t="s">
        <v>20</v>
      </c>
      <c r="D27" s="8">
        <v>29.3518</v>
      </c>
      <c r="E27" s="8">
        <f>14.96+9.72+3.52+6.54+7.16+9.9+4.6</f>
        <v>56.4</v>
      </c>
      <c r="F27" s="11">
        <f>1.28+11.96</f>
        <v>13.24</v>
      </c>
      <c r="G27" s="11">
        <f>14.36+0.3518+14.64+14.96</f>
        <v>44.3118</v>
      </c>
      <c r="H27" s="11"/>
      <c r="I27" s="8"/>
      <c r="J27" s="8">
        <f t="shared" si="0"/>
        <v>28.2</v>
      </c>
      <c r="K27" s="24"/>
      <c r="L27" s="24"/>
      <c r="M27" s="24"/>
      <c r="N27" s="24">
        <v>28.2</v>
      </c>
      <c r="O27" s="24"/>
      <c r="P27" s="24">
        <f t="shared" si="1"/>
        <v>28.2</v>
      </c>
    </row>
    <row r="28" s="2" customFormat="1" ht="18" customHeight="1" spans="1:16">
      <c r="A28" s="9" t="s">
        <v>54</v>
      </c>
      <c r="B28" s="8" t="s">
        <v>55</v>
      </c>
      <c r="C28" s="8" t="s">
        <v>20</v>
      </c>
      <c r="D28" s="8">
        <v>0</v>
      </c>
      <c r="E28" s="8">
        <f>0.3</f>
        <v>0.3</v>
      </c>
      <c r="F28" s="11">
        <f>0.3</f>
        <v>0.3</v>
      </c>
      <c r="G28" s="11"/>
      <c r="H28" s="11"/>
      <c r="I28" s="8"/>
      <c r="J28" s="8">
        <f t="shared" si="0"/>
        <v>0</v>
      </c>
      <c r="K28" s="24"/>
      <c r="L28" s="24"/>
      <c r="M28" s="24"/>
      <c r="N28" s="24"/>
      <c r="O28" s="24"/>
      <c r="P28" s="24">
        <f t="shared" si="1"/>
        <v>0</v>
      </c>
    </row>
    <row r="29" s="2" customFormat="1" ht="18" customHeight="1" spans="1:16">
      <c r="A29" s="10" t="s">
        <v>56</v>
      </c>
      <c r="B29" s="10" t="s">
        <v>57</v>
      </c>
      <c r="C29" s="8" t="s">
        <v>20</v>
      </c>
      <c r="D29" s="8">
        <v>1</v>
      </c>
      <c r="E29" s="8">
        <f>2.7+2.3+0.2+3.026</f>
        <v>8.226</v>
      </c>
      <c r="F29" s="11">
        <f>2.7</f>
        <v>2.7</v>
      </c>
      <c r="G29" s="11">
        <f>1+2.3</f>
        <v>3.3</v>
      </c>
      <c r="H29" s="11"/>
      <c r="I29" s="8"/>
      <c r="J29" s="8">
        <f t="shared" si="0"/>
        <v>3.226</v>
      </c>
      <c r="K29" s="24"/>
      <c r="L29" s="24"/>
      <c r="M29" s="24"/>
      <c r="N29" s="24">
        <v>3.226</v>
      </c>
      <c r="O29" s="24"/>
      <c r="P29" s="24">
        <f t="shared" si="1"/>
        <v>3.226</v>
      </c>
    </row>
    <row r="30" s="2" customFormat="1" ht="18" customHeight="1" spans="1:16">
      <c r="A30" s="10" t="s">
        <v>56</v>
      </c>
      <c r="B30" s="10" t="s">
        <v>57</v>
      </c>
      <c r="C30" s="8" t="s">
        <v>18</v>
      </c>
      <c r="D30" s="8">
        <v>0</v>
      </c>
      <c r="E30" s="8">
        <f>33.14+12.06+32.06+5.12+6.06+15.62+14.04</f>
        <v>118.1</v>
      </c>
      <c r="F30" s="11">
        <f>29.44+6.32+13.06+7+22.42+18.82+21.04</f>
        <v>118.1</v>
      </c>
      <c r="G30" s="11"/>
      <c r="H30" s="11"/>
      <c r="I30" s="8"/>
      <c r="J30" s="8">
        <f t="shared" si="0"/>
        <v>0</v>
      </c>
      <c r="K30" s="24"/>
      <c r="L30" s="24"/>
      <c r="M30" s="24"/>
      <c r="N30" s="24"/>
      <c r="O30" s="24"/>
      <c r="P30" s="24">
        <f t="shared" si="1"/>
        <v>0</v>
      </c>
    </row>
    <row r="31" s="2" customFormat="1" ht="18" customHeight="1" spans="1:16">
      <c r="A31" s="9" t="s">
        <v>58</v>
      </c>
      <c r="B31" s="10" t="s">
        <v>57</v>
      </c>
      <c r="C31" s="8" t="s">
        <v>23</v>
      </c>
      <c r="D31" s="8">
        <v>0</v>
      </c>
      <c r="E31" s="8"/>
      <c r="F31" s="11"/>
      <c r="G31" s="11"/>
      <c r="H31" s="11"/>
      <c r="I31" s="8"/>
      <c r="J31" s="8">
        <f t="shared" si="0"/>
        <v>0</v>
      </c>
      <c r="K31" s="24"/>
      <c r="L31" s="24"/>
      <c r="M31" s="24"/>
      <c r="N31" s="24"/>
      <c r="O31" s="24"/>
      <c r="P31" s="24">
        <f t="shared" si="1"/>
        <v>0</v>
      </c>
    </row>
    <row r="32" s="2" customFormat="1" ht="18" customHeight="1" spans="1:16">
      <c r="A32" s="9" t="s">
        <v>59</v>
      </c>
      <c r="B32" s="12" t="s">
        <v>60</v>
      </c>
      <c r="C32" s="8" t="s">
        <v>18</v>
      </c>
      <c r="D32" s="8">
        <v>0</v>
      </c>
      <c r="E32" s="8">
        <f>0.05</f>
        <v>0.05</v>
      </c>
      <c r="F32" s="11"/>
      <c r="G32" s="11"/>
      <c r="H32" s="11"/>
      <c r="I32" s="8"/>
      <c r="J32" s="8">
        <f t="shared" si="0"/>
        <v>0.05</v>
      </c>
      <c r="K32" s="24">
        <v>0.05</v>
      </c>
      <c r="L32" s="24"/>
      <c r="M32" s="24"/>
      <c r="N32" s="24"/>
      <c r="O32" s="24"/>
      <c r="P32" s="24">
        <f t="shared" si="1"/>
        <v>0.05</v>
      </c>
    </row>
    <row r="33" s="2" customFormat="1" ht="18" customHeight="1" spans="1:16">
      <c r="A33" s="16" t="s">
        <v>61</v>
      </c>
      <c r="B33" s="4" t="s">
        <v>62</v>
      </c>
      <c r="C33" s="8" t="s">
        <v>18</v>
      </c>
      <c r="D33" s="8">
        <v>14.78</v>
      </c>
      <c r="E33" s="8">
        <f>0.64+12.7+11.82+4.92+8.84+17.16+21.62+37.21</f>
        <v>114.91</v>
      </c>
      <c r="F33" s="11">
        <f>14.78+0.64+10.04+3.26+11.48+2.14+6.7+2.86+14.3</f>
        <v>66.2</v>
      </c>
      <c r="G33" s="11"/>
      <c r="H33" s="11"/>
      <c r="I33" s="8"/>
      <c r="J33" s="8">
        <f t="shared" si="0"/>
        <v>63.49</v>
      </c>
      <c r="K33" s="24">
        <v>6.96</v>
      </c>
      <c r="L33" s="24">
        <v>56.53</v>
      </c>
      <c r="M33" s="24"/>
      <c r="N33" s="24"/>
      <c r="O33" s="24"/>
      <c r="P33" s="24">
        <f t="shared" si="1"/>
        <v>63.49</v>
      </c>
    </row>
    <row r="34" s="2" customFormat="1" ht="18" customHeight="1" spans="1:16">
      <c r="A34" s="16" t="s">
        <v>61</v>
      </c>
      <c r="B34" s="4" t="s">
        <v>62</v>
      </c>
      <c r="C34" s="8" t="s">
        <v>23</v>
      </c>
      <c r="D34" s="8">
        <v>13.88</v>
      </c>
      <c r="E34" s="8">
        <f>0.3+0.049</f>
        <v>0.349</v>
      </c>
      <c r="F34" s="11">
        <f>0.3+3.259+10.67</f>
        <v>14.229</v>
      </c>
      <c r="G34" s="11"/>
      <c r="H34" s="11"/>
      <c r="I34" s="8"/>
      <c r="J34" s="8">
        <f t="shared" si="0"/>
        <v>0</v>
      </c>
      <c r="K34" s="24"/>
      <c r="L34" s="24"/>
      <c r="M34" s="24"/>
      <c r="N34" s="24"/>
      <c r="O34" s="24"/>
      <c r="P34" s="24">
        <f t="shared" si="1"/>
        <v>0</v>
      </c>
    </row>
    <row r="35" s="2" customFormat="1" ht="18" customHeight="1" spans="1:16">
      <c r="A35" s="16" t="s">
        <v>61</v>
      </c>
      <c r="B35" s="4" t="s">
        <v>62</v>
      </c>
      <c r="C35" s="4" t="s">
        <v>20</v>
      </c>
      <c r="D35" s="4">
        <v>0.0599999999999952</v>
      </c>
      <c r="E35" s="8">
        <f>8.6+6+0.57+184.42</f>
        <v>199.59</v>
      </c>
      <c r="F35" s="11">
        <f>7+0.57+6</f>
        <v>13.57</v>
      </c>
      <c r="G35" s="11">
        <f>0.06+1.6</f>
        <v>1.66</v>
      </c>
      <c r="H35" s="11"/>
      <c r="I35" s="8"/>
      <c r="J35" s="8">
        <f t="shared" si="0"/>
        <v>184.42</v>
      </c>
      <c r="K35" s="24"/>
      <c r="L35" s="24"/>
      <c r="M35" s="24"/>
      <c r="N35" s="24">
        <v>184.42</v>
      </c>
      <c r="O35" s="24"/>
      <c r="P35" s="24">
        <f t="shared" si="1"/>
        <v>184.42</v>
      </c>
    </row>
    <row r="36" s="2" customFormat="1" ht="18" customHeight="1" spans="1:16">
      <c r="A36" s="10" t="s">
        <v>54</v>
      </c>
      <c r="B36" s="4" t="s">
        <v>62</v>
      </c>
      <c r="C36" s="8" t="s">
        <v>20</v>
      </c>
      <c r="D36" s="8">
        <v>122.5</v>
      </c>
      <c r="E36" s="8"/>
      <c r="F36" s="11"/>
      <c r="G36" s="11">
        <f>70.5+12+40</f>
        <v>122.5</v>
      </c>
      <c r="H36" s="11"/>
      <c r="I36" s="8"/>
      <c r="J36" s="8">
        <f t="shared" si="0"/>
        <v>0</v>
      </c>
      <c r="K36" s="24"/>
      <c r="L36" s="24"/>
      <c r="M36" s="24"/>
      <c r="N36" s="24"/>
      <c r="O36" s="24"/>
      <c r="P36" s="24">
        <f t="shared" si="1"/>
        <v>0</v>
      </c>
    </row>
    <row r="37" s="2" customFormat="1" ht="18" customHeight="1" spans="1:16">
      <c r="A37" s="10" t="s">
        <v>63</v>
      </c>
      <c r="B37" s="4" t="s">
        <v>62</v>
      </c>
      <c r="C37" s="8" t="s">
        <v>20</v>
      </c>
      <c r="D37" s="8">
        <v>1006</v>
      </c>
      <c r="E37" s="8"/>
      <c r="F37" s="11"/>
      <c r="G37" s="11"/>
      <c r="H37" s="11"/>
      <c r="I37" s="8">
        <f>1006</f>
        <v>1006</v>
      </c>
      <c r="J37" s="8">
        <f t="shared" si="0"/>
        <v>0</v>
      </c>
      <c r="K37" s="24"/>
      <c r="L37" s="24"/>
      <c r="M37" s="24"/>
      <c r="N37" s="24"/>
      <c r="O37" s="24"/>
      <c r="P37" s="24">
        <f t="shared" si="1"/>
        <v>0</v>
      </c>
    </row>
    <row r="38" s="2" customFormat="1" ht="18" customHeight="1" spans="1:16">
      <c r="A38" s="17" t="s">
        <v>64</v>
      </c>
      <c r="B38" s="4" t="s">
        <v>62</v>
      </c>
      <c r="C38" s="8" t="s">
        <v>20</v>
      </c>
      <c r="D38" s="8">
        <v>0</v>
      </c>
      <c r="E38" s="8">
        <f>111+383+215+176+391+80+280+280+312+224+256-192</f>
        <v>2516</v>
      </c>
      <c r="F38" s="11"/>
      <c r="G38" s="11"/>
      <c r="H38" s="11"/>
      <c r="I38" s="8">
        <v>2100</v>
      </c>
      <c r="J38" s="8">
        <f t="shared" si="0"/>
        <v>416</v>
      </c>
      <c r="K38" s="24"/>
      <c r="L38" s="24"/>
      <c r="M38" s="24"/>
      <c r="N38" s="24">
        <f>608-192</f>
        <v>416</v>
      </c>
      <c r="O38" s="24"/>
      <c r="P38" s="24">
        <f t="shared" si="1"/>
        <v>416</v>
      </c>
    </row>
    <row r="39" s="2" customFormat="1" ht="18" customHeight="1" spans="1:16">
      <c r="A39" s="9" t="s">
        <v>65</v>
      </c>
      <c r="B39" s="13" t="s">
        <v>66</v>
      </c>
      <c r="C39" s="8" t="s">
        <v>20</v>
      </c>
      <c r="D39" s="8">
        <v>12.09</v>
      </c>
      <c r="E39" s="8">
        <f>0.187+0.139+3.56+0.07+0.342+0.74+0.205+40.4089</f>
        <v>45.6519</v>
      </c>
      <c r="F39" s="11">
        <f>0.187+0.139+2.605+0.205</f>
        <v>3.136</v>
      </c>
      <c r="G39" s="11">
        <f>0.72+10.77+1.56+0.07+0.137+0.74</f>
        <v>13.997</v>
      </c>
      <c r="H39" s="11"/>
      <c r="I39" s="8"/>
      <c r="J39" s="8">
        <f t="shared" si="0"/>
        <v>40.6089</v>
      </c>
      <c r="K39" s="24"/>
      <c r="L39" s="24">
        <v>0.2</v>
      </c>
      <c r="M39" s="24"/>
      <c r="N39" s="24">
        <v>40.4089</v>
      </c>
      <c r="O39" s="24"/>
      <c r="P39" s="24">
        <f t="shared" si="1"/>
        <v>40.6089</v>
      </c>
    </row>
    <row r="40" s="2" customFormat="1" ht="18" customHeight="1" spans="1:16">
      <c r="A40" s="9" t="s">
        <v>65</v>
      </c>
      <c r="B40" s="13" t="s">
        <v>66</v>
      </c>
      <c r="C40" s="8" t="s">
        <v>18</v>
      </c>
      <c r="D40" s="8">
        <v>0</v>
      </c>
      <c r="E40" s="8">
        <f>3.34</f>
        <v>3.34</v>
      </c>
      <c r="F40" s="11">
        <f>1.34</f>
        <v>1.34</v>
      </c>
      <c r="G40" s="11"/>
      <c r="H40" s="11"/>
      <c r="I40" s="8"/>
      <c r="J40" s="8">
        <f t="shared" si="0"/>
        <v>2</v>
      </c>
      <c r="K40" s="24">
        <v>2</v>
      </c>
      <c r="L40" s="24"/>
      <c r="M40" s="24"/>
      <c r="N40" s="24"/>
      <c r="O40" s="24"/>
      <c r="P40" s="24">
        <f t="shared" si="1"/>
        <v>2</v>
      </c>
    </row>
    <row r="41" s="2" customFormat="1" ht="18" customHeight="1" spans="1:16">
      <c r="A41" s="18" t="s">
        <v>65</v>
      </c>
      <c r="B41" s="19" t="s">
        <v>67</v>
      </c>
      <c r="C41" s="8" t="s">
        <v>20</v>
      </c>
      <c r="D41" s="8">
        <v>55.068</v>
      </c>
      <c r="E41" s="8">
        <f>1+7.64+30.45+4.32+12.58+6+4.04+7.658</f>
        <v>73.688</v>
      </c>
      <c r="F41" s="11">
        <f>1+28.5+3+3.72</f>
        <v>36.22</v>
      </c>
      <c r="G41" s="11">
        <f>14.78+40.25+0.038+5.24+1.35</f>
        <v>61.658</v>
      </c>
      <c r="H41" s="11"/>
      <c r="I41" s="8"/>
      <c r="J41" s="8">
        <f t="shared" si="0"/>
        <v>30.878</v>
      </c>
      <c r="K41" s="24"/>
      <c r="L41" s="24"/>
      <c r="M41" s="24"/>
      <c r="N41" s="24">
        <v>30.878</v>
      </c>
      <c r="O41" s="24"/>
      <c r="P41" s="24">
        <f t="shared" si="1"/>
        <v>30.878</v>
      </c>
    </row>
    <row r="42" s="2" customFormat="1" ht="18" customHeight="1" spans="1:16">
      <c r="A42" s="18" t="s">
        <v>68</v>
      </c>
      <c r="B42" s="19" t="s">
        <v>67</v>
      </c>
      <c r="C42" s="8" t="s">
        <v>18</v>
      </c>
      <c r="D42" s="8">
        <v>0</v>
      </c>
      <c r="E42" s="8">
        <f>0.42</f>
        <v>0.42</v>
      </c>
      <c r="F42" s="11"/>
      <c r="G42" s="11"/>
      <c r="H42" s="11"/>
      <c r="I42" s="8"/>
      <c r="J42" s="8">
        <f t="shared" si="0"/>
        <v>0.42</v>
      </c>
      <c r="K42" s="24">
        <v>0.42</v>
      </c>
      <c r="L42" s="24"/>
      <c r="M42" s="24"/>
      <c r="N42" s="24"/>
      <c r="O42" s="24"/>
      <c r="P42" s="24">
        <f t="shared" si="1"/>
        <v>0.42</v>
      </c>
    </row>
    <row r="43" s="2" customFormat="1" ht="18" customHeight="1" spans="1:16">
      <c r="A43" s="9" t="s">
        <v>69</v>
      </c>
      <c r="B43" s="13" t="s">
        <v>70</v>
      </c>
      <c r="C43" s="8" t="s">
        <v>20</v>
      </c>
      <c r="D43" s="8">
        <v>3.518</v>
      </c>
      <c r="E43" s="8">
        <f>0.62+2.64+2.36+5.78+4+8.9+0.7+14.6908</f>
        <v>39.6908</v>
      </c>
      <c r="F43" s="11">
        <f>0.64+2+0.74+4</f>
        <v>7.38</v>
      </c>
      <c r="G43" s="11">
        <f>0.068+3.13+0.94+2.36+5.04+5.1+0.5</f>
        <v>17.138</v>
      </c>
      <c r="H43" s="11"/>
      <c r="I43" s="8"/>
      <c r="J43" s="8">
        <f t="shared" si="0"/>
        <v>18.6908</v>
      </c>
      <c r="K43" s="24"/>
      <c r="L43" s="24"/>
      <c r="M43" s="24"/>
      <c r="N43" s="24">
        <v>18.6908</v>
      </c>
      <c r="O43" s="24"/>
      <c r="P43" s="24">
        <f t="shared" si="1"/>
        <v>18.6908</v>
      </c>
    </row>
    <row r="44" s="2" customFormat="1" ht="18" customHeight="1" spans="1:16">
      <c r="A44" s="9" t="s">
        <v>71</v>
      </c>
      <c r="B44" s="13" t="s">
        <v>72</v>
      </c>
      <c r="C44" s="8" t="s">
        <v>20</v>
      </c>
      <c r="D44" s="8">
        <v>0</v>
      </c>
      <c r="E44" s="8">
        <f>5+0.4+0.62</f>
        <v>6.02</v>
      </c>
      <c r="F44" s="11">
        <f>5</f>
        <v>5</v>
      </c>
      <c r="G44" s="11"/>
      <c r="H44" s="11"/>
      <c r="I44" s="8"/>
      <c r="J44" s="8">
        <f t="shared" si="0"/>
        <v>1.02</v>
      </c>
      <c r="K44" s="24"/>
      <c r="L44" s="24"/>
      <c r="M44" s="24"/>
      <c r="N44" s="24">
        <v>1.02</v>
      </c>
      <c r="O44" s="24"/>
      <c r="P44" s="24">
        <f t="shared" si="1"/>
        <v>1.02</v>
      </c>
    </row>
    <row r="45" s="2" customFormat="1" ht="18" customHeight="1" spans="1:16">
      <c r="A45" s="20" t="s">
        <v>73</v>
      </c>
      <c r="B45" s="13" t="s">
        <v>74</v>
      </c>
      <c r="C45" s="8" t="s">
        <v>20</v>
      </c>
      <c r="D45" s="8">
        <v>0.31</v>
      </c>
      <c r="E45" s="8">
        <f>0.166+0.7</f>
        <v>0.866</v>
      </c>
      <c r="F45" s="11"/>
      <c r="G45" s="11">
        <f>0.31</f>
        <v>0.31</v>
      </c>
      <c r="H45" s="11"/>
      <c r="I45" s="8"/>
      <c r="J45" s="8">
        <f t="shared" si="0"/>
        <v>0.866</v>
      </c>
      <c r="K45" s="24"/>
      <c r="L45" s="24"/>
      <c r="M45" s="24"/>
      <c r="N45" s="24">
        <v>0.866</v>
      </c>
      <c r="O45" s="24"/>
      <c r="P45" s="24">
        <f t="shared" si="1"/>
        <v>0.866</v>
      </c>
    </row>
    <row r="46" s="2" customFormat="1" ht="18" customHeight="1" spans="1:16">
      <c r="A46" s="20" t="s">
        <v>75</v>
      </c>
      <c r="B46" s="13" t="s">
        <v>76</v>
      </c>
      <c r="C46" s="8" t="s">
        <v>18</v>
      </c>
      <c r="D46" s="8">
        <v>0</v>
      </c>
      <c r="E46" s="8">
        <f>0.06</f>
        <v>0.06</v>
      </c>
      <c r="F46" s="11">
        <f>0.06</f>
        <v>0.06</v>
      </c>
      <c r="G46" s="11"/>
      <c r="H46" s="11"/>
      <c r="I46" s="8"/>
      <c r="J46" s="8">
        <f t="shared" si="0"/>
        <v>0</v>
      </c>
      <c r="K46" s="24"/>
      <c r="L46" s="24"/>
      <c r="M46" s="24"/>
      <c r="N46" s="24"/>
      <c r="O46" s="24"/>
      <c r="P46" s="24">
        <f t="shared" si="1"/>
        <v>0</v>
      </c>
    </row>
    <row r="47" s="2" customFormat="1" ht="18" customHeight="1" spans="1:16">
      <c r="A47" s="20" t="s">
        <v>75</v>
      </c>
      <c r="B47" s="13" t="s">
        <v>76</v>
      </c>
      <c r="C47" s="8" t="s">
        <v>20</v>
      </c>
      <c r="D47" s="8">
        <v>0</v>
      </c>
      <c r="E47" s="8">
        <v>7.54</v>
      </c>
      <c r="F47" s="11"/>
      <c r="G47" s="11"/>
      <c r="H47" s="11"/>
      <c r="I47" s="8"/>
      <c r="J47" s="8">
        <f t="shared" si="0"/>
        <v>7.54</v>
      </c>
      <c r="K47" s="24"/>
      <c r="L47" s="24">
        <v>7.54</v>
      </c>
      <c r="M47" s="24"/>
      <c r="N47" s="24"/>
      <c r="O47" s="24"/>
      <c r="P47" s="24">
        <f t="shared" si="1"/>
        <v>7.54</v>
      </c>
    </row>
    <row r="48" s="2" customFormat="1" ht="18" customHeight="1" spans="1:16">
      <c r="A48" s="10" t="s">
        <v>65</v>
      </c>
      <c r="B48" s="13" t="s">
        <v>77</v>
      </c>
      <c r="C48" s="8" t="s">
        <v>20</v>
      </c>
      <c r="D48" s="8">
        <v>64.5299999999999</v>
      </c>
      <c r="E48" s="8">
        <f>4.7+2.143+6.26+12.5126+26.965+15.3621+38.73+30.51915+9.869+129.89+25.74+60.7849-2.742</f>
        <v>360.73375</v>
      </c>
      <c r="F48" s="11">
        <f>2.143+6.70815+2.6126+24.095+12.865-2.5</f>
        <v>45.92375</v>
      </c>
      <c r="G48" s="11">
        <f>15.395+35.028+5.75+27.434+26.8451+21.19+9.598+0.239-0.242</f>
        <v>141.2371</v>
      </c>
      <c r="H48" s="11"/>
      <c r="I48" s="8"/>
      <c r="J48" s="8">
        <f t="shared" si="0"/>
        <v>238.1029</v>
      </c>
      <c r="K48" s="24">
        <v>0.28</v>
      </c>
      <c r="L48" s="24"/>
      <c r="M48" s="24"/>
      <c r="N48" s="24">
        <v>237.8229</v>
      </c>
      <c r="O48" s="24"/>
      <c r="P48" s="24">
        <f t="shared" si="1"/>
        <v>238.1029</v>
      </c>
    </row>
    <row r="49" s="2" customFormat="1" ht="18" customHeight="1" spans="1:16">
      <c r="A49" s="10" t="s">
        <v>78</v>
      </c>
      <c r="B49" s="13" t="s">
        <v>77</v>
      </c>
      <c r="C49" s="8" t="s">
        <v>23</v>
      </c>
      <c r="D49" s="8">
        <v>0</v>
      </c>
      <c r="E49" s="8">
        <f>6.14+68.729+3.14+10.84+89.58+17.676+64.8856+41.16+6.04365+104.64+75.654-6.42</f>
        <v>482.06825</v>
      </c>
      <c r="F49" s="11">
        <f>2.92+4.259+25.9+0.74+27.62-6.42</f>
        <v>55.019</v>
      </c>
      <c r="G49" s="11"/>
      <c r="H49" s="11">
        <f>3.22+59.87+7.74+2.4+80.06+16.5+37.786+39.2+1.44825+71.94+42.75+5.131</f>
        <v>368.04525</v>
      </c>
      <c r="I49" s="8"/>
      <c r="J49" s="8">
        <f t="shared" si="0"/>
        <v>59.0039999999999</v>
      </c>
      <c r="K49" s="24">
        <v>31.124</v>
      </c>
      <c r="L49" s="24">
        <v>27.88</v>
      </c>
      <c r="M49" s="24"/>
      <c r="N49" s="24"/>
      <c r="O49" s="24"/>
      <c r="P49" s="24">
        <f t="shared" si="1"/>
        <v>59.004</v>
      </c>
    </row>
    <row r="50" s="2" customFormat="1" ht="18" customHeight="1" spans="1:16">
      <c r="A50" s="9" t="s">
        <v>79</v>
      </c>
      <c r="B50" s="13" t="s">
        <v>77</v>
      </c>
      <c r="C50" s="8" t="s">
        <v>18</v>
      </c>
      <c r="D50" s="8">
        <v>0</v>
      </c>
      <c r="E50" s="8">
        <f>0.9+3.14+1.36+12.82+6.48</f>
        <v>24.7</v>
      </c>
      <c r="F50" s="11">
        <f>3.14+1.36+1.32</f>
        <v>5.82</v>
      </c>
      <c r="G50" s="11"/>
      <c r="H50" s="11"/>
      <c r="I50" s="8"/>
      <c r="J50" s="8">
        <f t="shared" si="0"/>
        <v>18.88</v>
      </c>
      <c r="K50" s="24">
        <v>6.06</v>
      </c>
      <c r="L50" s="24">
        <v>12.82</v>
      </c>
      <c r="M50" s="24"/>
      <c r="N50" s="24"/>
      <c r="O50" s="24"/>
      <c r="P50" s="24">
        <f t="shared" si="1"/>
        <v>18.88</v>
      </c>
    </row>
    <row r="51" s="2" customFormat="1" ht="18" customHeight="1" spans="1:16">
      <c r="A51" s="10" t="s">
        <v>80</v>
      </c>
      <c r="B51" s="8" t="s">
        <v>81</v>
      </c>
      <c r="C51" s="8" t="s">
        <v>20</v>
      </c>
      <c r="D51" s="8">
        <v>12.077</v>
      </c>
      <c r="E51" s="8">
        <f>0.01+6.52+1.18+14.84+23.7+9.607+7.4+16.9784</f>
        <v>80.2354</v>
      </c>
      <c r="F51" s="11">
        <f>1.961+1+0.72</f>
        <v>3.681</v>
      </c>
      <c r="G51" s="11">
        <f>4.65+3.59+12.34+0.886+26.2</f>
        <v>47.666</v>
      </c>
      <c r="H51" s="11"/>
      <c r="I51" s="8"/>
      <c r="J51" s="8">
        <f t="shared" si="0"/>
        <v>40.9654</v>
      </c>
      <c r="K51" s="24"/>
      <c r="L51" s="24">
        <v>40.5654</v>
      </c>
      <c r="M51" s="24"/>
      <c r="N51" s="24">
        <v>0.4</v>
      </c>
      <c r="O51" s="24"/>
      <c r="P51" s="24">
        <f t="shared" si="1"/>
        <v>40.9654</v>
      </c>
    </row>
    <row r="52" s="2" customFormat="1" ht="18" customHeight="1" spans="1:16">
      <c r="A52" s="9" t="s">
        <v>82</v>
      </c>
      <c r="B52" s="8" t="s">
        <v>83</v>
      </c>
      <c r="C52" s="8" t="s">
        <v>20</v>
      </c>
      <c r="D52" s="8">
        <v>273.2361</v>
      </c>
      <c r="E52" s="8">
        <f>17.6+0.5+15.9+0.42+17.59+7.487+5+11.91+12.08+23.332</f>
        <v>111.819</v>
      </c>
      <c r="F52" s="11">
        <f>53.38+14.8+0.161</f>
        <v>68.341</v>
      </c>
      <c r="G52" s="11">
        <f>38.8+17.5281+88+11.9+25.52+43.767+29.02+3.318+7.89</f>
        <v>265.7431</v>
      </c>
      <c r="H52" s="11"/>
      <c r="I52" s="8"/>
      <c r="J52" s="8">
        <f t="shared" si="0"/>
        <v>50.971</v>
      </c>
      <c r="K52" s="24"/>
      <c r="L52" s="24">
        <v>50.971</v>
      </c>
      <c r="M52" s="24"/>
      <c r="N52" s="24"/>
      <c r="O52" s="24"/>
      <c r="P52" s="24">
        <f t="shared" si="1"/>
        <v>50.971</v>
      </c>
    </row>
    <row r="53" s="2" customFormat="1" ht="18" customHeight="1" spans="1:16">
      <c r="A53" s="21" t="s">
        <v>84</v>
      </c>
      <c r="B53" s="8" t="s">
        <v>83</v>
      </c>
      <c r="C53" s="8" t="s">
        <v>23</v>
      </c>
      <c r="D53" s="8">
        <v>0</v>
      </c>
      <c r="E53" s="8">
        <f>3.558</f>
        <v>3.558</v>
      </c>
      <c r="F53" s="11">
        <v>3.558</v>
      </c>
      <c r="G53" s="11"/>
      <c r="H53" s="11"/>
      <c r="I53" s="8"/>
      <c r="J53" s="8">
        <f t="shared" si="0"/>
        <v>0</v>
      </c>
      <c r="K53" s="24"/>
      <c r="L53" s="24"/>
      <c r="M53" s="24"/>
      <c r="N53" s="24"/>
      <c r="O53" s="24"/>
      <c r="P53" s="24">
        <f t="shared" si="1"/>
        <v>0</v>
      </c>
    </row>
    <row r="54" s="2" customFormat="1" ht="18" customHeight="1" spans="1:16">
      <c r="A54" s="21" t="s">
        <v>85</v>
      </c>
      <c r="B54" s="8" t="s">
        <v>86</v>
      </c>
      <c r="C54" s="8" t="s">
        <v>20</v>
      </c>
      <c r="D54" s="8">
        <v>0</v>
      </c>
      <c r="E54" s="8">
        <f>54.84</f>
        <v>54.84</v>
      </c>
      <c r="F54" s="11"/>
      <c r="G54" s="11">
        <f>50.24+4.6</f>
        <v>54.84</v>
      </c>
      <c r="H54" s="11"/>
      <c r="I54" s="8"/>
      <c r="J54" s="8">
        <f t="shared" si="0"/>
        <v>0</v>
      </c>
      <c r="K54" s="24"/>
      <c r="L54" s="24"/>
      <c r="M54" s="24"/>
      <c r="N54" s="24"/>
      <c r="O54" s="24"/>
      <c r="P54" s="24">
        <f t="shared" si="1"/>
        <v>0</v>
      </c>
    </row>
    <row r="55" s="2" customFormat="1" ht="18" customHeight="1" spans="1:16">
      <c r="A55" s="9" t="s">
        <v>87</v>
      </c>
      <c r="B55" s="8" t="s">
        <v>88</v>
      </c>
      <c r="C55" s="8" t="s">
        <v>23</v>
      </c>
      <c r="D55" s="8">
        <v>0</v>
      </c>
      <c r="E55" s="8">
        <f>115.42+7.52+10.38+1.26</f>
        <v>134.58</v>
      </c>
      <c r="F55" s="11">
        <f>7.52+10.38</f>
        <v>17.9</v>
      </c>
      <c r="G55" s="11"/>
      <c r="H55" s="11">
        <f>83.42+32</f>
        <v>115.42</v>
      </c>
      <c r="I55" s="8"/>
      <c r="J55" s="8">
        <f t="shared" si="0"/>
        <v>1.25999999999998</v>
      </c>
      <c r="K55" s="24">
        <v>1.26</v>
      </c>
      <c r="L55" s="24"/>
      <c r="M55" s="24"/>
      <c r="N55" s="24"/>
      <c r="O55" s="24"/>
      <c r="P55" s="24">
        <f t="shared" si="1"/>
        <v>1.26</v>
      </c>
    </row>
    <row r="56" s="2" customFormat="1" ht="18" customHeight="1" spans="1:16">
      <c r="A56" s="9" t="s">
        <v>89</v>
      </c>
      <c r="B56" s="4" t="s">
        <v>90</v>
      </c>
      <c r="C56" s="8" t="s">
        <v>23</v>
      </c>
      <c r="D56" s="8">
        <v>45.9</v>
      </c>
      <c r="E56" s="8"/>
      <c r="F56" s="11">
        <f>23.7+6.2+6+10</f>
        <v>45.9</v>
      </c>
      <c r="G56" s="11"/>
      <c r="H56" s="11"/>
      <c r="I56" s="8"/>
      <c r="J56" s="8">
        <f t="shared" si="0"/>
        <v>0</v>
      </c>
      <c r="K56" s="24"/>
      <c r="L56" s="24"/>
      <c r="M56" s="24"/>
      <c r="N56" s="24"/>
      <c r="O56" s="24"/>
      <c r="P56" s="24">
        <f t="shared" si="1"/>
        <v>0</v>
      </c>
    </row>
    <row r="57" s="2" customFormat="1" ht="18" customHeight="1" spans="1:16">
      <c r="A57" s="10" t="s">
        <v>91</v>
      </c>
      <c r="B57" s="13" t="s">
        <v>92</v>
      </c>
      <c r="C57" s="8" t="s">
        <v>23</v>
      </c>
      <c r="D57" s="8">
        <v>0</v>
      </c>
      <c r="E57" s="8">
        <f>1.8+52.34+101.01+14.94+47.9+4.36</f>
        <v>222.35</v>
      </c>
      <c r="F57" s="11">
        <f>1.8+7.57+56.33+67.58+14.94+37.9+13.87+4.36</f>
        <v>204.35</v>
      </c>
      <c r="G57" s="11"/>
      <c r="H57" s="11"/>
      <c r="I57" s="8"/>
      <c r="J57" s="8">
        <f t="shared" si="0"/>
        <v>18</v>
      </c>
      <c r="K57" s="24">
        <v>18</v>
      </c>
      <c r="L57" s="24"/>
      <c r="M57" s="24"/>
      <c r="N57" s="24"/>
      <c r="O57" s="24"/>
      <c r="P57" s="24">
        <f t="shared" si="1"/>
        <v>18</v>
      </c>
    </row>
    <row r="58" s="2" customFormat="1" ht="18" customHeight="1" spans="1:16">
      <c r="A58" s="10" t="s">
        <v>91</v>
      </c>
      <c r="B58" s="13" t="s">
        <v>92</v>
      </c>
      <c r="C58" s="8" t="s">
        <v>20</v>
      </c>
      <c r="D58" s="8">
        <v>0.47999999999999</v>
      </c>
      <c r="E58" s="8">
        <f>29.58+16.18+41.14+21.28+30.638+30.7+1</f>
        <v>170.518</v>
      </c>
      <c r="F58" s="11">
        <f>0.48+8.94+2.042+7.24+15.14</f>
        <v>33.842</v>
      </c>
      <c r="G58" s="11">
        <f>13.74+56.98+26.3</f>
        <v>97.02</v>
      </c>
      <c r="H58" s="11"/>
      <c r="I58" s="8"/>
      <c r="J58" s="8">
        <f t="shared" si="0"/>
        <v>40.136</v>
      </c>
      <c r="K58" s="24">
        <v>35.736</v>
      </c>
      <c r="L58" s="24"/>
      <c r="M58" s="24"/>
      <c r="N58" s="24">
        <v>4.4</v>
      </c>
      <c r="O58" s="24"/>
      <c r="P58" s="24">
        <f t="shared" si="1"/>
        <v>40.136</v>
      </c>
    </row>
    <row r="59" s="2" customFormat="1" ht="18" customHeight="1" spans="1:16">
      <c r="A59" s="10" t="s">
        <v>91</v>
      </c>
      <c r="B59" s="13" t="s">
        <v>92</v>
      </c>
      <c r="C59" s="8" t="s">
        <v>18</v>
      </c>
      <c r="D59" s="8">
        <v>26.48</v>
      </c>
      <c r="E59" s="8">
        <f>18.56+19.08+76.1+58.62+32.42+81.74+86</f>
        <v>372.52</v>
      </c>
      <c r="F59" s="11">
        <f>26.48+18.56+3.08+85.1+35.82+29.8+31.42+31.82+16.72+10</f>
        <v>288.8</v>
      </c>
      <c r="G59" s="11"/>
      <c r="H59" s="11"/>
      <c r="I59" s="8"/>
      <c r="J59" s="8">
        <f t="shared" si="0"/>
        <v>110.2</v>
      </c>
      <c r="K59" s="24">
        <v>110.2</v>
      </c>
      <c r="L59" s="24"/>
      <c r="M59" s="24"/>
      <c r="N59" s="24"/>
      <c r="O59" s="24"/>
      <c r="P59" s="24">
        <f t="shared" si="1"/>
        <v>110.2</v>
      </c>
    </row>
    <row r="60" s="2" customFormat="1" ht="18" customHeight="1" spans="1:16">
      <c r="A60" s="10" t="s">
        <v>91</v>
      </c>
      <c r="B60" s="13" t="s">
        <v>93</v>
      </c>
      <c r="C60" s="8" t="s">
        <v>18</v>
      </c>
      <c r="D60" s="8">
        <v>0</v>
      </c>
      <c r="E60" s="8">
        <f>4.125</f>
        <v>4.125</v>
      </c>
      <c r="F60" s="11"/>
      <c r="G60" s="11"/>
      <c r="H60" s="11"/>
      <c r="I60" s="8"/>
      <c r="J60" s="8">
        <f t="shared" si="0"/>
        <v>4.125</v>
      </c>
      <c r="K60" s="24">
        <v>4.125</v>
      </c>
      <c r="L60" s="24"/>
      <c r="M60" s="24"/>
      <c r="N60" s="24"/>
      <c r="O60" s="24"/>
      <c r="P60" s="24">
        <f t="shared" si="1"/>
        <v>4.125</v>
      </c>
    </row>
    <row r="61" s="2" customFormat="1" ht="18" customHeight="1" spans="1:16">
      <c r="A61" s="10" t="s">
        <v>91</v>
      </c>
      <c r="B61" s="13" t="s">
        <v>93</v>
      </c>
      <c r="C61" s="8" t="s">
        <v>20</v>
      </c>
      <c r="D61" s="8">
        <v>23.32</v>
      </c>
      <c r="E61" s="8">
        <f>32.46+40+5.8+1.75</f>
        <v>80.01</v>
      </c>
      <c r="F61" s="11"/>
      <c r="G61" s="11">
        <f>23.32+28.97+43.49</f>
        <v>95.78</v>
      </c>
      <c r="H61" s="11"/>
      <c r="I61" s="8"/>
      <c r="J61" s="8">
        <f t="shared" si="0"/>
        <v>7.55000000000001</v>
      </c>
      <c r="K61" s="24">
        <v>1.75</v>
      </c>
      <c r="L61" s="24">
        <v>5.8</v>
      </c>
      <c r="M61" s="24"/>
      <c r="N61" s="24"/>
      <c r="O61" s="24"/>
      <c r="P61" s="24">
        <f t="shared" si="1"/>
        <v>7.55</v>
      </c>
    </row>
    <row r="62" s="2" customFormat="1" ht="18" customHeight="1" spans="1:16">
      <c r="A62" s="9" t="s">
        <v>94</v>
      </c>
      <c r="B62" s="13" t="s">
        <v>95</v>
      </c>
      <c r="C62" s="8" t="s">
        <v>23</v>
      </c>
      <c r="D62" s="8">
        <v>0</v>
      </c>
      <c r="E62" s="8">
        <f>4+9.6</f>
        <v>13.6</v>
      </c>
      <c r="F62" s="11">
        <f>4+9.6</f>
        <v>13.6</v>
      </c>
      <c r="G62" s="11"/>
      <c r="H62" s="11"/>
      <c r="I62" s="8"/>
      <c r="J62" s="8">
        <f t="shared" si="0"/>
        <v>0</v>
      </c>
      <c r="K62" s="24"/>
      <c r="L62" s="24"/>
      <c r="M62" s="24"/>
      <c r="N62" s="24"/>
      <c r="O62" s="24"/>
      <c r="P62" s="24">
        <f t="shared" si="1"/>
        <v>0</v>
      </c>
    </row>
    <row r="63" s="2" customFormat="1" ht="18" customHeight="1" spans="1:16">
      <c r="A63" s="10" t="s">
        <v>96</v>
      </c>
      <c r="B63" s="8" t="s">
        <v>97</v>
      </c>
      <c r="C63" s="8" t="s">
        <v>23</v>
      </c>
      <c r="D63" s="8">
        <v>0</v>
      </c>
      <c r="E63" s="8">
        <f>3.3+5.9</f>
        <v>9.2</v>
      </c>
      <c r="F63" s="11">
        <f>3.3</f>
        <v>3.3</v>
      </c>
      <c r="G63" s="11"/>
      <c r="H63" s="11"/>
      <c r="I63" s="8"/>
      <c r="J63" s="8">
        <f t="shared" si="0"/>
        <v>5.9</v>
      </c>
      <c r="K63" s="24">
        <v>5.9</v>
      </c>
      <c r="L63" s="24"/>
      <c r="M63" s="24"/>
      <c r="N63" s="24"/>
      <c r="O63" s="24"/>
      <c r="P63" s="24">
        <f t="shared" si="1"/>
        <v>5.9</v>
      </c>
    </row>
    <row r="64" s="2" customFormat="1" ht="18" customHeight="1" spans="1:16">
      <c r="A64" s="10" t="s">
        <v>94</v>
      </c>
      <c r="B64" s="8" t="s">
        <v>98</v>
      </c>
      <c r="C64" s="8" t="s">
        <v>23</v>
      </c>
      <c r="D64" s="8">
        <v>0</v>
      </c>
      <c r="E64" s="8">
        <f>0.3+2</f>
        <v>2.3</v>
      </c>
      <c r="F64" s="11">
        <f>2.3</f>
        <v>2.3</v>
      </c>
      <c r="G64" s="11"/>
      <c r="H64" s="11"/>
      <c r="I64" s="8"/>
      <c r="J64" s="8">
        <f t="shared" si="0"/>
        <v>0</v>
      </c>
      <c r="K64" s="24"/>
      <c r="L64" s="24"/>
      <c r="M64" s="24"/>
      <c r="N64" s="24"/>
      <c r="O64" s="24"/>
      <c r="P64" s="24">
        <f t="shared" si="1"/>
        <v>0</v>
      </c>
    </row>
    <row r="65" s="2" customFormat="1" ht="18" customHeight="1" spans="1:16">
      <c r="A65" s="10" t="s">
        <v>94</v>
      </c>
      <c r="B65" s="8" t="s">
        <v>98</v>
      </c>
      <c r="C65" s="8" t="s">
        <v>18</v>
      </c>
      <c r="D65" s="8">
        <v>0</v>
      </c>
      <c r="E65" s="8">
        <f>20.96</f>
        <v>20.96</v>
      </c>
      <c r="F65" s="11">
        <f>20.96</f>
        <v>20.96</v>
      </c>
      <c r="G65" s="11"/>
      <c r="H65" s="11"/>
      <c r="I65" s="8"/>
      <c r="J65" s="8">
        <f t="shared" si="0"/>
        <v>0</v>
      </c>
      <c r="K65" s="24"/>
      <c r="L65" s="24"/>
      <c r="M65" s="24"/>
      <c r="N65" s="24"/>
      <c r="O65" s="24"/>
      <c r="P65" s="24">
        <f t="shared" si="1"/>
        <v>0</v>
      </c>
    </row>
    <row r="66" s="2" customFormat="1" ht="18" customHeight="1" spans="1:16">
      <c r="A66" s="10" t="s">
        <v>94</v>
      </c>
      <c r="B66" s="8" t="s">
        <v>98</v>
      </c>
      <c r="C66" s="8" t="s">
        <v>20</v>
      </c>
      <c r="D66" s="8">
        <v>0</v>
      </c>
      <c r="E66" s="8">
        <f>0.2+0.3</f>
        <v>0.5</v>
      </c>
      <c r="F66" s="11">
        <f>0.2+0.3</f>
        <v>0.5</v>
      </c>
      <c r="G66" s="25"/>
      <c r="H66" s="25"/>
      <c r="I66" s="8"/>
      <c r="J66" s="8">
        <f t="shared" si="0"/>
        <v>0</v>
      </c>
      <c r="K66" s="24"/>
      <c r="L66" s="24"/>
      <c r="M66" s="24"/>
      <c r="N66" s="24"/>
      <c r="O66" s="24"/>
      <c r="P66" s="24">
        <f t="shared" si="1"/>
        <v>0</v>
      </c>
    </row>
    <row r="67" s="2" customFormat="1" ht="18" customHeight="1" spans="1:16">
      <c r="A67" s="9" t="s">
        <v>99</v>
      </c>
      <c r="B67" s="13" t="s">
        <v>100</v>
      </c>
      <c r="C67" s="8" t="s">
        <v>23</v>
      </c>
      <c r="D67" s="8">
        <v>46.712</v>
      </c>
      <c r="E67" s="8">
        <f>28.84+62.82+84.99+35.7+41.7+46.512+68.28+65.595+5.69545+9.68+62.4355</f>
        <v>512.24795</v>
      </c>
      <c r="F67" s="8">
        <f>39.552+4.84+17.34+60.01+92.52+39.22+30.33+20.78+61.595+61.93545+9.68+30.66</f>
        <v>468.46245</v>
      </c>
      <c r="G67" s="8"/>
      <c r="H67" s="8">
        <f>0.657+4.202</f>
        <v>4.859</v>
      </c>
      <c r="I67" s="8"/>
      <c r="J67" s="8">
        <f t="shared" si="0"/>
        <v>85.6385</v>
      </c>
      <c r="K67" s="24">
        <v>69.4585</v>
      </c>
      <c r="L67" s="24">
        <v>16.18</v>
      </c>
      <c r="M67" s="24"/>
      <c r="N67" s="24"/>
      <c r="O67" s="24"/>
      <c r="P67" s="24">
        <f t="shared" si="1"/>
        <v>85.6385</v>
      </c>
    </row>
    <row r="68" s="2" customFormat="1" ht="18" customHeight="1" spans="1:16">
      <c r="A68" s="9" t="s">
        <v>94</v>
      </c>
      <c r="B68" s="13" t="s">
        <v>100</v>
      </c>
      <c r="C68" s="8" t="s">
        <v>18</v>
      </c>
      <c r="D68" s="8">
        <v>0.459999999999999</v>
      </c>
      <c r="E68" s="8">
        <f>4.56+0.5+0.5</f>
        <v>5.56</v>
      </c>
      <c r="F68" s="8">
        <f>0.46+4.56+0.5+0.5</f>
        <v>6.02</v>
      </c>
      <c r="G68" s="8"/>
      <c r="H68" s="8"/>
      <c r="I68" s="8"/>
      <c r="J68" s="8">
        <f t="shared" ref="J68:J131" si="2">D68+E68-F68-G68-H68-I68</f>
        <v>0</v>
      </c>
      <c r="K68" s="24"/>
      <c r="L68" s="24"/>
      <c r="M68" s="24"/>
      <c r="N68" s="24"/>
      <c r="O68" s="24"/>
      <c r="P68" s="24">
        <f t="shared" ref="P68:P130" si="3">K68+L68+M68+N68+O68</f>
        <v>0</v>
      </c>
    </row>
    <row r="69" s="2" customFormat="1" ht="18" customHeight="1" spans="1:16">
      <c r="A69" s="9" t="s">
        <v>94</v>
      </c>
      <c r="B69" s="13" t="s">
        <v>100</v>
      </c>
      <c r="C69" s="8" t="s">
        <v>20</v>
      </c>
      <c r="D69" s="8">
        <v>11.76</v>
      </c>
      <c r="E69" s="8">
        <f>98.88+0.98</f>
        <v>99.86</v>
      </c>
      <c r="F69" s="11">
        <f>0.98</f>
        <v>0.98</v>
      </c>
      <c r="G69" s="11">
        <f>29.08+50.74+30.82</f>
        <v>110.64</v>
      </c>
      <c r="H69" s="11"/>
      <c r="I69" s="8"/>
      <c r="J69" s="8">
        <f t="shared" si="2"/>
        <v>0</v>
      </c>
      <c r="K69" s="24"/>
      <c r="L69" s="24"/>
      <c r="M69" s="24"/>
      <c r="N69" s="24"/>
      <c r="O69" s="24"/>
      <c r="P69" s="24">
        <f t="shared" si="3"/>
        <v>0</v>
      </c>
    </row>
    <row r="70" s="2" customFormat="1" ht="18" customHeight="1" spans="1:16">
      <c r="A70" s="9" t="s">
        <v>101</v>
      </c>
      <c r="B70" s="13" t="s">
        <v>102</v>
      </c>
      <c r="C70" s="8" t="s">
        <v>23</v>
      </c>
      <c r="D70" s="8">
        <v>0</v>
      </c>
      <c r="E70" s="8"/>
      <c r="F70" s="11"/>
      <c r="G70" s="11"/>
      <c r="H70" s="11"/>
      <c r="I70" s="8"/>
      <c r="J70" s="8">
        <f t="shared" si="2"/>
        <v>0</v>
      </c>
      <c r="K70" s="24"/>
      <c r="L70" s="24"/>
      <c r="M70" s="24"/>
      <c r="N70" s="24"/>
      <c r="O70" s="24"/>
      <c r="P70" s="24">
        <f t="shared" si="3"/>
        <v>0</v>
      </c>
    </row>
    <row r="71" s="2" customFormat="1" ht="18" customHeight="1" spans="1:16">
      <c r="A71" s="18" t="s">
        <v>103</v>
      </c>
      <c r="B71" s="19" t="s">
        <v>104</v>
      </c>
      <c r="C71" s="8" t="s">
        <v>18</v>
      </c>
      <c r="D71" s="8">
        <v>0</v>
      </c>
      <c r="E71" s="8">
        <f>1.2</f>
        <v>1.2</v>
      </c>
      <c r="F71" s="11">
        <f>1.2</f>
        <v>1.2</v>
      </c>
      <c r="G71" s="11"/>
      <c r="H71" s="11"/>
      <c r="I71" s="8"/>
      <c r="J71" s="8">
        <f t="shared" si="2"/>
        <v>0</v>
      </c>
      <c r="K71" s="24"/>
      <c r="L71" s="24"/>
      <c r="M71" s="24"/>
      <c r="N71" s="24"/>
      <c r="O71" s="24"/>
      <c r="P71" s="24">
        <f t="shared" si="3"/>
        <v>0</v>
      </c>
    </row>
    <row r="72" s="2" customFormat="1" ht="18" customHeight="1" spans="1:16">
      <c r="A72" s="10" t="s">
        <v>105</v>
      </c>
      <c r="B72" s="10" t="s">
        <v>106</v>
      </c>
      <c r="C72" s="8" t="s">
        <v>23</v>
      </c>
      <c r="D72" s="8">
        <v>0</v>
      </c>
      <c r="E72" s="8">
        <f>0.088+0.8+0.3+0.14+0.341+0.84+0.012+2.605+0.776</f>
        <v>5.902</v>
      </c>
      <c r="F72" s="11">
        <f>0.088+0.8+0.3+0.341+0.98+0.012+2.605</f>
        <v>5.126</v>
      </c>
      <c r="G72" s="11"/>
      <c r="H72" s="11"/>
      <c r="I72" s="8"/>
      <c r="J72" s="8">
        <f t="shared" si="2"/>
        <v>0.776</v>
      </c>
      <c r="K72" s="24">
        <v>0.776</v>
      </c>
      <c r="L72" s="24"/>
      <c r="M72" s="24"/>
      <c r="N72" s="24"/>
      <c r="O72" s="24"/>
      <c r="P72" s="24">
        <f t="shared" si="3"/>
        <v>0.776</v>
      </c>
    </row>
    <row r="73" s="2" customFormat="1" ht="18" customHeight="1" spans="1:16">
      <c r="A73" s="10" t="s">
        <v>105</v>
      </c>
      <c r="B73" s="10" t="s">
        <v>106</v>
      </c>
      <c r="C73" s="8" t="s">
        <v>18</v>
      </c>
      <c r="D73" s="26">
        <v>0</v>
      </c>
      <c r="E73" s="27">
        <f>1.4+0.2+1.13+3.06+1.089</f>
        <v>6.879</v>
      </c>
      <c r="F73" s="11">
        <f>1.4+1.33</f>
        <v>2.73</v>
      </c>
      <c r="G73" s="11"/>
      <c r="H73" s="11"/>
      <c r="I73" s="8"/>
      <c r="J73" s="8">
        <f t="shared" si="2"/>
        <v>4.149</v>
      </c>
      <c r="K73" s="24">
        <v>3.06</v>
      </c>
      <c r="L73" s="24">
        <v>1.089</v>
      </c>
      <c r="M73" s="24"/>
      <c r="N73" s="24"/>
      <c r="O73" s="24"/>
      <c r="P73" s="24">
        <f t="shared" si="3"/>
        <v>4.149</v>
      </c>
    </row>
    <row r="74" s="2" customFormat="1" ht="18" customHeight="1" spans="1:16">
      <c r="A74" s="10" t="s">
        <v>105</v>
      </c>
      <c r="B74" s="10" t="s">
        <v>106</v>
      </c>
      <c r="C74" s="8" t="s">
        <v>20</v>
      </c>
      <c r="D74" s="8">
        <v>25.72</v>
      </c>
      <c r="E74" s="8">
        <f>0.346+2.4+1.4+0.021+26.62+5.16+4+2.72</f>
        <v>42.667</v>
      </c>
      <c r="F74" s="11">
        <f>0.346+2.4+20.72+2.2+0.021+19.54+13.44+3+4</f>
        <v>65.667</v>
      </c>
      <c r="G74" s="11"/>
      <c r="H74" s="11"/>
      <c r="I74" s="8"/>
      <c r="J74" s="8">
        <f t="shared" si="2"/>
        <v>2.72</v>
      </c>
      <c r="K74" s="24">
        <v>2.72</v>
      </c>
      <c r="L74" s="24"/>
      <c r="M74" s="24"/>
      <c r="N74" s="24"/>
      <c r="O74" s="24"/>
      <c r="P74" s="24">
        <f t="shared" si="3"/>
        <v>2.72</v>
      </c>
    </row>
    <row r="75" s="2" customFormat="1" ht="18" customHeight="1" spans="1:16">
      <c r="A75" s="10" t="s">
        <v>107</v>
      </c>
      <c r="B75" s="10" t="s">
        <v>108</v>
      </c>
      <c r="C75" s="8" t="s">
        <v>20</v>
      </c>
      <c r="D75" s="8">
        <v>0</v>
      </c>
      <c r="E75" s="8">
        <f>0.18</f>
        <v>0.18</v>
      </c>
      <c r="F75" s="11"/>
      <c r="G75" s="11"/>
      <c r="H75" s="11"/>
      <c r="I75" s="8"/>
      <c r="J75" s="8">
        <f t="shared" si="2"/>
        <v>0.18</v>
      </c>
      <c r="K75" s="24">
        <v>0.18</v>
      </c>
      <c r="L75" s="24"/>
      <c r="M75" s="24"/>
      <c r="N75" s="24"/>
      <c r="O75" s="24"/>
      <c r="P75" s="24">
        <f t="shared" si="3"/>
        <v>0.18</v>
      </c>
    </row>
    <row r="76" s="2" customFormat="1" ht="18" customHeight="1" spans="1:16">
      <c r="A76" s="10" t="s">
        <v>109</v>
      </c>
      <c r="B76" s="10" t="s">
        <v>108</v>
      </c>
      <c r="C76" s="8" t="s">
        <v>23</v>
      </c>
      <c r="D76" s="8">
        <v>0</v>
      </c>
      <c r="E76" s="8">
        <f>1.215</f>
        <v>1.215</v>
      </c>
      <c r="F76" s="11"/>
      <c r="G76" s="11"/>
      <c r="H76" s="11"/>
      <c r="I76" s="8"/>
      <c r="J76" s="8">
        <f t="shared" si="2"/>
        <v>1.215</v>
      </c>
      <c r="K76" s="24">
        <v>1.215</v>
      </c>
      <c r="L76" s="24"/>
      <c r="M76" s="24"/>
      <c r="N76" s="24"/>
      <c r="O76" s="24"/>
      <c r="P76" s="24">
        <f t="shared" si="3"/>
        <v>1.215</v>
      </c>
    </row>
    <row r="77" s="2" customFormat="1" ht="18" customHeight="1" spans="1:16">
      <c r="A77" s="9" t="s">
        <v>110</v>
      </c>
      <c r="B77" s="8" t="s">
        <v>95</v>
      </c>
      <c r="C77" s="8" t="s">
        <v>23</v>
      </c>
      <c r="D77" s="8">
        <v>0</v>
      </c>
      <c r="E77" s="8">
        <f>1.4+0.1</f>
        <v>1.5</v>
      </c>
      <c r="F77" s="11">
        <f>1.4</f>
        <v>1.4</v>
      </c>
      <c r="G77" s="11"/>
      <c r="H77" s="11"/>
      <c r="I77" s="8"/>
      <c r="J77" s="8">
        <f t="shared" si="2"/>
        <v>0.1</v>
      </c>
      <c r="K77" s="24">
        <v>0.1</v>
      </c>
      <c r="L77" s="24"/>
      <c r="M77" s="24"/>
      <c r="N77" s="24"/>
      <c r="O77" s="24"/>
      <c r="P77" s="24">
        <f t="shared" si="3"/>
        <v>0.1</v>
      </c>
    </row>
    <row r="78" s="2" customFormat="1" ht="18" customHeight="1" spans="1:16">
      <c r="A78" s="9" t="s">
        <v>111</v>
      </c>
      <c r="B78" s="8" t="s">
        <v>112</v>
      </c>
      <c r="C78" s="8" t="s">
        <v>20</v>
      </c>
      <c r="D78" s="8">
        <v>0</v>
      </c>
      <c r="E78" s="8">
        <f>0.57</f>
        <v>0.57</v>
      </c>
      <c r="F78" s="11"/>
      <c r="G78" s="11"/>
      <c r="H78" s="11"/>
      <c r="I78" s="8"/>
      <c r="J78" s="8">
        <f t="shared" si="2"/>
        <v>0.57</v>
      </c>
      <c r="K78" s="24">
        <v>0.57</v>
      </c>
      <c r="L78" s="24"/>
      <c r="M78" s="24"/>
      <c r="N78" s="24"/>
      <c r="O78" s="24"/>
      <c r="P78" s="24">
        <f t="shared" si="3"/>
        <v>0.57</v>
      </c>
    </row>
    <row r="79" s="2" customFormat="1" ht="18" customHeight="1" spans="1:16">
      <c r="A79" s="28" t="s">
        <v>113</v>
      </c>
      <c r="B79" s="10" t="s">
        <v>114</v>
      </c>
      <c r="C79" s="8" t="s">
        <v>18</v>
      </c>
      <c r="D79" s="8">
        <v>0</v>
      </c>
      <c r="E79" s="8">
        <f>1.696+5.91+0.93+4.41+0.46+5.12+0.5438+0.216+0.46</f>
        <v>19.7458</v>
      </c>
      <c r="F79" s="29">
        <f>1.696+5.49+0.42+0.93+4.41+0.46+5.12+0.2038+0.39+0.22</f>
        <v>19.3398</v>
      </c>
      <c r="G79" s="29"/>
      <c r="H79" s="29"/>
      <c r="I79" s="8"/>
      <c r="J79" s="8">
        <f t="shared" si="2"/>
        <v>0.406000000000002</v>
      </c>
      <c r="K79" s="24">
        <v>0.406</v>
      </c>
      <c r="L79" s="24"/>
      <c r="M79" s="24"/>
      <c r="N79" s="24"/>
      <c r="O79" s="24"/>
      <c r="P79" s="24">
        <f t="shared" si="3"/>
        <v>0.406</v>
      </c>
    </row>
    <row r="80" s="2" customFormat="1" ht="18" customHeight="1" spans="1:16">
      <c r="A80" s="28" t="s">
        <v>113</v>
      </c>
      <c r="B80" s="10" t="s">
        <v>114</v>
      </c>
      <c r="C80" s="8" t="s">
        <v>23</v>
      </c>
      <c r="D80" s="8">
        <v>0.000999999999990564</v>
      </c>
      <c r="E80" s="8">
        <f>0.01+4+0.0124+0.012+6.84+0.006+4.53656</f>
        <v>15.41696</v>
      </c>
      <c r="F80" s="11">
        <f>0.001+0.01+4.0124+0.012+1+5.846+1.09</f>
        <v>11.9714</v>
      </c>
      <c r="G80" s="11"/>
      <c r="H80" s="11"/>
      <c r="I80" s="8"/>
      <c r="J80" s="8">
        <f t="shared" si="2"/>
        <v>3.44655999999999</v>
      </c>
      <c r="K80" s="24">
        <v>3.44656</v>
      </c>
      <c r="L80" s="24"/>
      <c r="M80" s="24"/>
      <c r="N80" s="24"/>
      <c r="O80" s="24"/>
      <c r="P80" s="24">
        <f t="shared" si="3"/>
        <v>3.44656</v>
      </c>
    </row>
    <row r="81" s="2" customFormat="1" ht="18" customHeight="1" spans="1:16">
      <c r="A81" s="28" t="s">
        <v>115</v>
      </c>
      <c r="B81" s="10" t="s">
        <v>114</v>
      </c>
      <c r="C81" s="8" t="s">
        <v>20</v>
      </c>
      <c r="D81" s="8">
        <v>0</v>
      </c>
      <c r="E81" s="8">
        <f>0.055</f>
        <v>0.055</v>
      </c>
      <c r="F81" s="11"/>
      <c r="G81" s="11"/>
      <c r="H81" s="11"/>
      <c r="I81" s="8"/>
      <c r="J81" s="8">
        <f t="shared" si="2"/>
        <v>0.055</v>
      </c>
      <c r="K81" s="24">
        <v>0.055</v>
      </c>
      <c r="L81" s="24"/>
      <c r="M81" s="24"/>
      <c r="N81" s="24"/>
      <c r="O81" s="24"/>
      <c r="P81" s="24">
        <f t="shared" si="3"/>
        <v>0.055</v>
      </c>
    </row>
    <row r="82" s="2" customFormat="1" ht="18" customHeight="1" spans="1:16">
      <c r="A82" s="28" t="s">
        <v>116</v>
      </c>
      <c r="B82" s="8" t="s">
        <v>117</v>
      </c>
      <c r="C82" s="8" t="s">
        <v>23</v>
      </c>
      <c r="D82" s="8">
        <v>0.376999999999981</v>
      </c>
      <c r="E82" s="8">
        <f>18.22+2.86+11.46+1.56+7.86+3.44+8.18+0.5</f>
        <v>54.08</v>
      </c>
      <c r="F82" s="11">
        <f>21.08+13.397+11.3+8.18+0.5</f>
        <v>54.457</v>
      </c>
      <c r="G82" s="11"/>
      <c r="H82" s="11"/>
      <c r="I82" s="8"/>
      <c r="J82" s="8">
        <f t="shared" si="2"/>
        <v>0</v>
      </c>
      <c r="K82" s="24"/>
      <c r="L82" s="24"/>
      <c r="M82" s="24"/>
      <c r="N82" s="24"/>
      <c r="O82" s="24"/>
      <c r="P82" s="24">
        <f t="shared" si="3"/>
        <v>0</v>
      </c>
    </row>
    <row r="83" s="2" customFormat="1" ht="18" customHeight="1" spans="1:16">
      <c r="A83" s="28" t="s">
        <v>116</v>
      </c>
      <c r="B83" s="8" t="s">
        <v>117</v>
      </c>
      <c r="C83" s="8" t="s">
        <v>18</v>
      </c>
      <c r="D83" s="8">
        <v>0.00300000000000011</v>
      </c>
      <c r="E83" s="8">
        <f>0.03</f>
        <v>0.03</v>
      </c>
      <c r="F83" s="11">
        <f>0.003</f>
        <v>0.003</v>
      </c>
      <c r="G83" s="11"/>
      <c r="H83" s="11"/>
      <c r="I83" s="8"/>
      <c r="J83" s="8">
        <f t="shared" si="2"/>
        <v>0.0300000000000001</v>
      </c>
      <c r="K83" s="24">
        <v>0.03</v>
      </c>
      <c r="L83" s="24"/>
      <c r="M83" s="24"/>
      <c r="N83" s="24"/>
      <c r="O83" s="24"/>
      <c r="P83" s="24">
        <f t="shared" si="3"/>
        <v>0.03</v>
      </c>
    </row>
    <row r="84" s="2" customFormat="1" ht="18" customHeight="1" spans="1:16">
      <c r="A84" s="28" t="s">
        <v>118</v>
      </c>
      <c r="B84" s="8" t="s">
        <v>119</v>
      </c>
      <c r="C84" s="8" t="s">
        <v>18</v>
      </c>
      <c r="D84" s="8">
        <v>0</v>
      </c>
      <c r="E84" s="8">
        <f>4.739+4.5456+4.1372+3.57</f>
        <v>16.9918</v>
      </c>
      <c r="F84" s="11">
        <f>4.739+4.5456+4.1372</f>
        <v>13.4218</v>
      </c>
      <c r="G84" s="11"/>
      <c r="H84" s="11"/>
      <c r="I84" s="8"/>
      <c r="J84" s="8">
        <f t="shared" si="2"/>
        <v>3.57</v>
      </c>
      <c r="K84" s="24"/>
      <c r="L84" s="24">
        <v>3.57</v>
      </c>
      <c r="M84" s="24"/>
      <c r="N84" s="24"/>
      <c r="O84" s="24"/>
      <c r="P84" s="24">
        <f t="shared" si="3"/>
        <v>3.57</v>
      </c>
    </row>
    <row r="85" s="2" customFormat="1" ht="18" customHeight="1" spans="1:16">
      <c r="A85" s="9" t="s">
        <v>120</v>
      </c>
      <c r="B85" s="4" t="s">
        <v>121</v>
      </c>
      <c r="C85" s="8" t="s">
        <v>23</v>
      </c>
      <c r="D85" s="8">
        <v>5.28</v>
      </c>
      <c r="E85" s="8">
        <f>0.9+26.84+3.16+5.64+1.28</f>
        <v>37.82</v>
      </c>
      <c r="F85" s="11">
        <f>6.18+30+5.64</f>
        <v>41.82</v>
      </c>
      <c r="G85" s="11"/>
      <c r="H85" s="11"/>
      <c r="I85" s="8"/>
      <c r="J85" s="8">
        <f t="shared" si="2"/>
        <v>1.28</v>
      </c>
      <c r="K85" s="24"/>
      <c r="L85" s="24">
        <v>1.28</v>
      </c>
      <c r="M85" s="24"/>
      <c r="N85" s="24"/>
      <c r="O85" s="24"/>
      <c r="P85" s="24">
        <f t="shared" si="3"/>
        <v>1.28</v>
      </c>
    </row>
    <row r="86" s="2" customFormat="1" ht="18" customHeight="1" spans="1:16">
      <c r="A86" s="9" t="s">
        <v>122</v>
      </c>
      <c r="B86" s="4" t="s">
        <v>121</v>
      </c>
      <c r="C86" s="8" t="s">
        <v>18</v>
      </c>
      <c r="D86" s="8">
        <v>0</v>
      </c>
      <c r="E86" s="8">
        <f>0.4487+2.6</f>
        <v>3.0487</v>
      </c>
      <c r="F86" s="11">
        <f>0.4487</f>
        <v>0.4487</v>
      </c>
      <c r="G86" s="11"/>
      <c r="H86" s="11"/>
      <c r="I86" s="8"/>
      <c r="J86" s="8">
        <f t="shared" si="2"/>
        <v>2.6</v>
      </c>
      <c r="K86" s="24"/>
      <c r="L86" s="24">
        <v>2.6</v>
      </c>
      <c r="M86" s="24"/>
      <c r="N86" s="24"/>
      <c r="O86" s="24"/>
      <c r="P86" s="24">
        <f t="shared" si="3"/>
        <v>2.6</v>
      </c>
    </row>
    <row r="87" s="2" customFormat="1" ht="18" customHeight="1" spans="1:16">
      <c r="A87" s="30" t="s">
        <v>123</v>
      </c>
      <c r="B87" s="8" t="s">
        <v>124</v>
      </c>
      <c r="C87" s="8" t="s">
        <v>20</v>
      </c>
      <c r="D87" s="8">
        <v>0</v>
      </c>
      <c r="E87" s="8">
        <f>9.42</f>
        <v>9.42</v>
      </c>
      <c r="F87" s="11"/>
      <c r="G87" s="11"/>
      <c r="H87" s="11"/>
      <c r="I87" s="8"/>
      <c r="J87" s="8">
        <f t="shared" si="2"/>
        <v>9.42</v>
      </c>
      <c r="K87" s="24">
        <v>9.42</v>
      </c>
      <c r="L87" s="24"/>
      <c r="M87" s="24"/>
      <c r="N87" s="24"/>
      <c r="O87" s="24"/>
      <c r="P87" s="24">
        <f t="shared" si="3"/>
        <v>9.42</v>
      </c>
    </row>
    <row r="88" s="2" customFormat="1" ht="18" customHeight="1" spans="1:16">
      <c r="A88" s="30" t="s">
        <v>125</v>
      </c>
      <c r="B88" s="4" t="s">
        <v>124</v>
      </c>
      <c r="C88" s="8" t="s">
        <v>18</v>
      </c>
      <c r="D88" s="8">
        <v>4</v>
      </c>
      <c r="E88" s="8">
        <f>4.6+9.36</f>
        <v>13.96</v>
      </c>
      <c r="F88" s="11">
        <f>4</f>
        <v>4</v>
      </c>
      <c r="G88" s="11"/>
      <c r="H88" s="11"/>
      <c r="I88" s="8"/>
      <c r="J88" s="8">
        <f t="shared" si="2"/>
        <v>13.96</v>
      </c>
      <c r="K88" s="24">
        <v>9.36</v>
      </c>
      <c r="L88" s="24">
        <v>4.6</v>
      </c>
      <c r="M88" s="24"/>
      <c r="N88" s="24"/>
      <c r="O88" s="24"/>
      <c r="P88" s="24">
        <f t="shared" si="3"/>
        <v>13.96</v>
      </c>
    </row>
    <row r="89" s="2" customFormat="1" ht="18" customHeight="1" spans="1:16">
      <c r="A89" s="16" t="s">
        <v>126</v>
      </c>
      <c r="B89" s="8" t="s">
        <v>124</v>
      </c>
      <c r="C89" s="8" t="s">
        <v>23</v>
      </c>
      <c r="D89" s="8">
        <v>0</v>
      </c>
      <c r="E89" s="8">
        <f>36.52+5.3+16</f>
        <v>57.82</v>
      </c>
      <c r="F89" s="8">
        <f>25.42+10.4+16</f>
        <v>51.82</v>
      </c>
      <c r="G89" s="8"/>
      <c r="H89" s="8"/>
      <c r="I89" s="8"/>
      <c r="J89" s="8">
        <f t="shared" si="2"/>
        <v>6</v>
      </c>
      <c r="K89" s="24">
        <v>6</v>
      </c>
      <c r="L89" s="24"/>
      <c r="M89" s="24"/>
      <c r="N89" s="24"/>
      <c r="O89" s="24"/>
      <c r="P89" s="24">
        <f t="shared" si="3"/>
        <v>6</v>
      </c>
    </row>
    <row r="90" s="2" customFormat="1" ht="18" customHeight="1" spans="1:16">
      <c r="A90" s="16" t="s">
        <v>127</v>
      </c>
      <c r="B90" s="10" t="s">
        <v>128</v>
      </c>
      <c r="C90" s="8" t="s">
        <v>20</v>
      </c>
      <c r="D90" s="8">
        <v>1.82</v>
      </c>
      <c r="E90" s="8"/>
      <c r="F90" s="8">
        <f>1.82</f>
        <v>1.82</v>
      </c>
      <c r="G90" s="8"/>
      <c r="H90" s="8"/>
      <c r="I90" s="8"/>
      <c r="J90" s="8">
        <f t="shared" si="2"/>
        <v>0</v>
      </c>
      <c r="K90" s="24"/>
      <c r="L90" s="24"/>
      <c r="M90" s="24"/>
      <c r="N90" s="24"/>
      <c r="O90" s="24"/>
      <c r="P90" s="24">
        <f t="shared" si="3"/>
        <v>0</v>
      </c>
    </row>
    <row r="91" s="2" customFormat="1" ht="18" customHeight="1" spans="1:16">
      <c r="A91" s="16" t="s">
        <v>129</v>
      </c>
      <c r="B91" s="10" t="s">
        <v>128</v>
      </c>
      <c r="C91" s="8" t="s">
        <v>18</v>
      </c>
      <c r="D91" s="8">
        <v>0</v>
      </c>
      <c r="E91" s="8">
        <f>0.74</f>
        <v>0.74</v>
      </c>
      <c r="F91" s="8">
        <v>0.74</v>
      </c>
      <c r="G91" s="8"/>
      <c r="H91" s="8"/>
      <c r="I91" s="8"/>
      <c r="J91" s="8">
        <f t="shared" si="2"/>
        <v>0</v>
      </c>
      <c r="K91" s="24"/>
      <c r="L91" s="24"/>
      <c r="M91" s="24"/>
      <c r="N91" s="24"/>
      <c r="O91" s="24"/>
      <c r="P91" s="24">
        <f t="shared" si="3"/>
        <v>0</v>
      </c>
    </row>
    <row r="92" s="2" customFormat="1" ht="18" customHeight="1" spans="1:16">
      <c r="A92" s="16" t="s">
        <v>130</v>
      </c>
      <c r="B92" s="10" t="s">
        <v>128</v>
      </c>
      <c r="C92" s="8" t="s">
        <v>23</v>
      </c>
      <c r="D92" s="8">
        <v>0.200000000000003</v>
      </c>
      <c r="E92" s="8">
        <f>15.62+19.54+10.52+14.572+1.2+10.173+2.68</f>
        <v>74.305</v>
      </c>
      <c r="F92" s="11">
        <f>0.2+35.16+10.52+15.772+0.52+12.333</f>
        <v>74.505</v>
      </c>
      <c r="G92" s="11"/>
      <c r="H92" s="11"/>
      <c r="I92" s="8"/>
      <c r="J92" s="8">
        <f t="shared" si="2"/>
        <v>0</v>
      </c>
      <c r="K92" s="24"/>
      <c r="L92" s="24"/>
      <c r="M92" s="24"/>
      <c r="N92" s="24"/>
      <c r="O92" s="24"/>
      <c r="P92" s="24">
        <f t="shared" si="3"/>
        <v>0</v>
      </c>
    </row>
    <row r="93" s="2" customFormat="1" ht="18" customHeight="1" spans="1:16">
      <c r="A93" s="31" t="s">
        <v>131</v>
      </c>
      <c r="B93" s="32" t="s">
        <v>132</v>
      </c>
      <c r="C93" s="8" t="s">
        <v>23</v>
      </c>
      <c r="D93" s="8">
        <v>0</v>
      </c>
      <c r="E93" s="8">
        <f>0.22</f>
        <v>0.22</v>
      </c>
      <c r="F93" s="11"/>
      <c r="G93" s="11"/>
      <c r="H93" s="11"/>
      <c r="I93" s="8"/>
      <c r="J93" s="8">
        <f t="shared" si="2"/>
        <v>0.22</v>
      </c>
      <c r="K93" s="24">
        <v>0.22</v>
      </c>
      <c r="L93" s="24"/>
      <c r="M93" s="24"/>
      <c r="N93" s="24"/>
      <c r="O93" s="24"/>
      <c r="P93" s="24">
        <f t="shared" si="3"/>
        <v>0.22</v>
      </c>
    </row>
    <row r="94" s="2" customFormat="1" ht="18" customHeight="1" spans="1:16">
      <c r="A94" s="31" t="s">
        <v>133</v>
      </c>
      <c r="B94" s="4" t="s">
        <v>134</v>
      </c>
      <c r="C94" s="8" t="s">
        <v>20</v>
      </c>
      <c r="D94" s="8">
        <v>0</v>
      </c>
      <c r="E94" s="8">
        <f>2.5+0.55</f>
        <v>3.05</v>
      </c>
      <c r="F94" s="11">
        <f>0.55</f>
        <v>0.55</v>
      </c>
      <c r="G94" s="11">
        <f>2.5</f>
        <v>2.5</v>
      </c>
      <c r="H94" s="11"/>
      <c r="I94" s="8"/>
      <c r="J94" s="8">
        <f t="shared" si="2"/>
        <v>0</v>
      </c>
      <c r="K94" s="24"/>
      <c r="L94" s="24"/>
      <c r="M94" s="24"/>
      <c r="N94" s="24"/>
      <c r="O94" s="24"/>
      <c r="P94" s="24">
        <f t="shared" si="3"/>
        <v>0</v>
      </c>
    </row>
    <row r="95" s="2" customFormat="1" ht="18" customHeight="1" spans="1:16">
      <c r="A95" s="16" t="s">
        <v>110</v>
      </c>
      <c r="B95" s="8" t="s">
        <v>135</v>
      </c>
      <c r="C95" s="8" t="s">
        <v>23</v>
      </c>
      <c r="D95" s="8">
        <v>0</v>
      </c>
      <c r="E95" s="8">
        <f>14.459</f>
        <v>14.459</v>
      </c>
      <c r="F95" s="11">
        <f>14.459</f>
        <v>14.459</v>
      </c>
      <c r="G95" s="11"/>
      <c r="H95" s="11"/>
      <c r="I95" s="8"/>
      <c r="J95" s="8">
        <f t="shared" si="2"/>
        <v>0</v>
      </c>
      <c r="K95" s="24"/>
      <c r="L95" s="24"/>
      <c r="M95" s="24"/>
      <c r="N95" s="24"/>
      <c r="O95" s="24"/>
      <c r="P95" s="24">
        <f t="shared" si="3"/>
        <v>0</v>
      </c>
    </row>
    <row r="96" s="2" customFormat="1" ht="18" customHeight="1" spans="1:16">
      <c r="A96" s="33" t="s">
        <v>136</v>
      </c>
      <c r="B96" s="8" t="s">
        <v>137</v>
      </c>
      <c r="C96" s="8" t="s">
        <v>20</v>
      </c>
      <c r="D96" s="8">
        <v>0.113</v>
      </c>
      <c r="E96" s="8">
        <f>0.1+0.24+0.54+0.2+0.05+0.36+0.1+0.13</f>
        <v>1.72</v>
      </c>
      <c r="F96" s="8">
        <f>0.113+0.1+0.05+0.22</f>
        <v>0.483</v>
      </c>
      <c r="G96" s="8">
        <f>0.24+0.54+0.2+0.36</f>
        <v>1.34</v>
      </c>
      <c r="H96" s="8"/>
      <c r="I96" s="8"/>
      <c r="J96" s="8">
        <f t="shared" si="2"/>
        <v>0.0100000000000002</v>
      </c>
      <c r="K96" s="24">
        <v>0.01</v>
      </c>
      <c r="L96" s="24"/>
      <c r="M96" s="24"/>
      <c r="N96" s="24"/>
      <c r="O96" s="24"/>
      <c r="P96" s="24">
        <f t="shared" si="3"/>
        <v>0.01</v>
      </c>
    </row>
    <row r="97" s="2" customFormat="1" ht="18" customHeight="1" spans="1:16">
      <c r="A97" s="33" t="s">
        <v>138</v>
      </c>
      <c r="B97" s="8" t="s">
        <v>139</v>
      </c>
      <c r="C97" s="8" t="s">
        <v>23</v>
      </c>
      <c r="D97" s="8">
        <v>0</v>
      </c>
      <c r="E97" s="8">
        <v>0.4</v>
      </c>
      <c r="F97" s="8"/>
      <c r="G97" s="8"/>
      <c r="H97" s="8"/>
      <c r="I97" s="8"/>
      <c r="J97" s="8">
        <f t="shared" si="2"/>
        <v>0.4</v>
      </c>
      <c r="K97" s="24">
        <v>0.4</v>
      </c>
      <c r="L97" s="24"/>
      <c r="M97" s="24"/>
      <c r="N97" s="24"/>
      <c r="O97" s="24"/>
      <c r="P97" s="24">
        <f t="shared" si="3"/>
        <v>0.4</v>
      </c>
    </row>
    <row r="98" s="2" customFormat="1" ht="18" customHeight="1" spans="1:16">
      <c r="A98" s="33" t="s">
        <v>140</v>
      </c>
      <c r="B98" s="8" t="s">
        <v>141</v>
      </c>
      <c r="C98" s="8" t="s">
        <v>20</v>
      </c>
      <c r="D98" s="8">
        <v>0</v>
      </c>
      <c r="E98" s="8">
        <f>13.065</f>
        <v>13.065</v>
      </c>
      <c r="F98" s="8"/>
      <c r="G98" s="8"/>
      <c r="H98" s="8"/>
      <c r="I98" s="8"/>
      <c r="J98" s="8">
        <f t="shared" si="2"/>
        <v>13.065</v>
      </c>
      <c r="K98" s="24"/>
      <c r="L98" s="24">
        <v>1.545</v>
      </c>
      <c r="M98" s="24"/>
      <c r="N98" s="24">
        <v>11.52</v>
      </c>
      <c r="O98" s="24"/>
      <c r="P98" s="24">
        <f t="shared" si="3"/>
        <v>13.065</v>
      </c>
    </row>
    <row r="99" s="2" customFormat="1" ht="18" customHeight="1" spans="1:16">
      <c r="A99" s="33" t="s">
        <v>142</v>
      </c>
      <c r="B99" s="8" t="s">
        <v>141</v>
      </c>
      <c r="C99" s="8" t="s">
        <v>23</v>
      </c>
      <c r="D99" s="8">
        <v>0</v>
      </c>
      <c r="E99" s="8">
        <v>8.92</v>
      </c>
      <c r="F99" s="8">
        <v>8.92</v>
      </c>
      <c r="G99" s="8"/>
      <c r="H99" s="8"/>
      <c r="I99" s="8"/>
      <c r="J99" s="8">
        <f t="shared" si="2"/>
        <v>0</v>
      </c>
      <c r="K99" s="24"/>
      <c r="L99" s="24"/>
      <c r="M99" s="24"/>
      <c r="N99" s="24"/>
      <c r="O99" s="24"/>
      <c r="P99" s="24">
        <f t="shared" si="3"/>
        <v>0</v>
      </c>
    </row>
    <row r="100" s="2" customFormat="1" ht="18" customHeight="1" spans="1:16">
      <c r="A100" s="33" t="s">
        <v>143</v>
      </c>
      <c r="B100" s="8" t="s">
        <v>144</v>
      </c>
      <c r="C100" s="8" t="s">
        <v>18</v>
      </c>
      <c r="D100" s="8">
        <v>0</v>
      </c>
      <c r="E100" s="8">
        <f>4.85</f>
        <v>4.85</v>
      </c>
      <c r="F100" s="8">
        <f>4.85</f>
        <v>4.85</v>
      </c>
      <c r="G100" s="8"/>
      <c r="H100" s="8"/>
      <c r="I100" s="8"/>
      <c r="J100" s="8">
        <f t="shared" si="2"/>
        <v>0</v>
      </c>
      <c r="K100" s="24"/>
      <c r="L100" s="24"/>
      <c r="M100" s="24"/>
      <c r="N100" s="24"/>
      <c r="O100" s="24"/>
      <c r="P100" s="24">
        <f t="shared" si="3"/>
        <v>0</v>
      </c>
    </row>
    <row r="101" s="2" customFormat="1" ht="18" customHeight="1" spans="1:16">
      <c r="A101" s="33" t="s">
        <v>143</v>
      </c>
      <c r="B101" s="8" t="s">
        <v>144</v>
      </c>
      <c r="C101" s="8" t="s">
        <v>23</v>
      </c>
      <c r="D101" s="8">
        <v>0</v>
      </c>
      <c r="E101" s="8">
        <f>0.046</f>
        <v>0.046</v>
      </c>
      <c r="F101" s="8"/>
      <c r="G101" s="8"/>
      <c r="H101" s="8"/>
      <c r="I101" s="8"/>
      <c r="J101" s="8">
        <f t="shared" si="2"/>
        <v>0.046</v>
      </c>
      <c r="K101" s="24"/>
      <c r="L101" s="24">
        <v>0.046</v>
      </c>
      <c r="M101" s="24"/>
      <c r="N101" s="24"/>
      <c r="O101" s="24"/>
      <c r="P101" s="24">
        <f t="shared" si="3"/>
        <v>0.046</v>
      </c>
    </row>
    <row r="102" s="2" customFormat="1" ht="18" customHeight="1" spans="1:16">
      <c r="A102" s="10" t="s">
        <v>145</v>
      </c>
      <c r="B102" s="8" t="s">
        <v>146</v>
      </c>
      <c r="C102" s="8" t="s">
        <v>23</v>
      </c>
      <c r="D102" s="8">
        <v>35.67</v>
      </c>
      <c r="E102" s="8">
        <f>18.424+15.46+13.5+10.25+8+16.08+7+54.617</f>
        <v>143.331</v>
      </c>
      <c r="F102" s="11">
        <f>35.67+33.884+11.5+12.25+8+16.08+16.217</f>
        <v>133.601</v>
      </c>
      <c r="G102" s="11"/>
      <c r="H102" s="11"/>
      <c r="I102" s="8"/>
      <c r="J102" s="8">
        <f t="shared" si="2"/>
        <v>45.4</v>
      </c>
      <c r="K102" s="24">
        <v>7</v>
      </c>
      <c r="L102" s="24">
        <v>38.4</v>
      </c>
      <c r="M102" s="24"/>
      <c r="N102" s="24"/>
      <c r="O102" s="24"/>
      <c r="P102" s="24">
        <f t="shared" si="3"/>
        <v>45.4</v>
      </c>
    </row>
    <row r="103" s="2" customFormat="1" ht="18" customHeight="1" spans="1:16">
      <c r="A103" s="10" t="s">
        <v>147</v>
      </c>
      <c r="B103" s="8" t="s">
        <v>146</v>
      </c>
      <c r="C103" s="8" t="s">
        <v>18</v>
      </c>
      <c r="D103" s="8">
        <v>0</v>
      </c>
      <c r="E103" s="8">
        <f>1.54</f>
        <v>1.54</v>
      </c>
      <c r="F103" s="11"/>
      <c r="G103" s="11"/>
      <c r="H103" s="11"/>
      <c r="I103" s="8"/>
      <c r="J103" s="8">
        <f t="shared" si="2"/>
        <v>1.54</v>
      </c>
      <c r="K103" s="24">
        <v>1.54</v>
      </c>
      <c r="L103" s="24"/>
      <c r="M103" s="24"/>
      <c r="N103" s="24"/>
      <c r="O103" s="24"/>
      <c r="P103" s="24">
        <f t="shared" si="3"/>
        <v>1.54</v>
      </c>
    </row>
    <row r="104" s="2" customFormat="1" ht="18" customHeight="1" spans="1:16">
      <c r="A104" s="10" t="s">
        <v>147</v>
      </c>
      <c r="B104" s="8" t="s">
        <v>146</v>
      </c>
      <c r="C104" s="8" t="s">
        <v>20</v>
      </c>
      <c r="D104" s="8">
        <v>0.84099999999998</v>
      </c>
      <c r="E104" s="8">
        <f>0.9+3.9+2.68+2.58</f>
        <v>10.06</v>
      </c>
      <c r="F104" s="8">
        <f>0.046+2.68</f>
        <v>2.726</v>
      </c>
      <c r="G104" s="8">
        <f>0.795+0.9+2</f>
        <v>3.695</v>
      </c>
      <c r="H104" s="8"/>
      <c r="I104" s="8"/>
      <c r="J104" s="8">
        <f t="shared" si="2"/>
        <v>4.47999999999998</v>
      </c>
      <c r="K104" s="24"/>
      <c r="L104" s="24">
        <v>4.48</v>
      </c>
      <c r="M104" s="24"/>
      <c r="N104" s="24"/>
      <c r="O104" s="24"/>
      <c r="P104" s="24">
        <f t="shared" si="3"/>
        <v>4.48</v>
      </c>
    </row>
    <row r="105" s="2" customFormat="1" ht="18" customHeight="1" spans="1:16">
      <c r="A105" s="10" t="s">
        <v>129</v>
      </c>
      <c r="B105" s="8" t="s">
        <v>144</v>
      </c>
      <c r="C105" s="8" t="s">
        <v>23</v>
      </c>
      <c r="D105" s="8">
        <v>0.074</v>
      </c>
      <c r="E105" s="8"/>
      <c r="F105" s="11">
        <f>0.074</f>
        <v>0.074</v>
      </c>
      <c r="G105" s="11"/>
      <c r="H105" s="11"/>
      <c r="I105" s="8"/>
      <c r="J105" s="8">
        <f t="shared" si="2"/>
        <v>0</v>
      </c>
      <c r="K105" s="24"/>
      <c r="L105" s="24"/>
      <c r="M105" s="24"/>
      <c r="N105" s="24"/>
      <c r="O105" s="24"/>
      <c r="P105" s="24">
        <f t="shared" si="3"/>
        <v>0</v>
      </c>
    </row>
    <row r="106" s="2" customFormat="1" ht="18" customHeight="1" spans="1:16">
      <c r="A106" s="10" t="s">
        <v>129</v>
      </c>
      <c r="B106" s="8" t="s">
        <v>148</v>
      </c>
      <c r="C106" s="8" t="s">
        <v>18</v>
      </c>
      <c r="D106" s="8">
        <v>0</v>
      </c>
      <c r="E106" s="8">
        <f>0.21</f>
        <v>0.21</v>
      </c>
      <c r="F106" s="11"/>
      <c r="G106" s="11"/>
      <c r="H106" s="11"/>
      <c r="I106" s="8"/>
      <c r="J106" s="8">
        <f t="shared" si="2"/>
        <v>0.21</v>
      </c>
      <c r="K106" s="24"/>
      <c r="L106" s="24">
        <v>0.21</v>
      </c>
      <c r="M106" s="24"/>
      <c r="N106" s="24"/>
      <c r="O106" s="24"/>
      <c r="P106" s="24">
        <f t="shared" si="3"/>
        <v>0.21</v>
      </c>
    </row>
    <row r="107" s="2" customFormat="1" ht="18" customHeight="1" spans="1:16">
      <c r="A107" s="9" t="s">
        <v>149</v>
      </c>
      <c r="B107" s="8" t="s">
        <v>148</v>
      </c>
      <c r="C107" s="8" t="s">
        <v>23</v>
      </c>
      <c r="D107" s="8">
        <v>0</v>
      </c>
      <c r="E107" s="8">
        <f>25.68+21.87+19.72</f>
        <v>67.27</v>
      </c>
      <c r="F107" s="11">
        <f>14.11+4.57+7+21.87+19.72</f>
        <v>67.27</v>
      </c>
      <c r="G107" s="11"/>
      <c r="H107" s="11"/>
      <c r="I107" s="8"/>
      <c r="J107" s="8">
        <f t="shared" si="2"/>
        <v>0</v>
      </c>
      <c r="K107" s="24"/>
      <c r="L107" s="24"/>
      <c r="M107" s="24"/>
      <c r="N107" s="24"/>
      <c r="O107" s="24"/>
      <c r="P107" s="24">
        <f t="shared" si="3"/>
        <v>0</v>
      </c>
    </row>
    <row r="108" s="2" customFormat="1" ht="18" customHeight="1" spans="1:16">
      <c r="A108" s="21" t="s">
        <v>150</v>
      </c>
      <c r="B108" s="7" t="s">
        <v>151</v>
      </c>
      <c r="C108" s="8" t="s">
        <v>23</v>
      </c>
      <c r="D108" s="8">
        <v>0.02</v>
      </c>
      <c r="E108" s="8">
        <f>0.02-0.02</f>
        <v>0</v>
      </c>
      <c r="F108" s="11"/>
      <c r="G108" s="11"/>
      <c r="H108" s="11"/>
      <c r="I108" s="8"/>
      <c r="J108" s="8">
        <f t="shared" si="2"/>
        <v>0.02</v>
      </c>
      <c r="K108" s="24"/>
      <c r="L108" s="24">
        <f>0.04-0.02</f>
        <v>0.02</v>
      </c>
      <c r="M108" s="24"/>
      <c r="N108" s="24"/>
      <c r="O108" s="24"/>
      <c r="P108" s="24">
        <f t="shared" si="3"/>
        <v>0.02</v>
      </c>
    </row>
    <row r="109" s="2" customFormat="1" ht="18" customHeight="1" spans="1:16">
      <c r="A109" s="9" t="s">
        <v>152</v>
      </c>
      <c r="B109" s="8" t="s">
        <v>153</v>
      </c>
      <c r="C109" s="8" t="s">
        <v>20</v>
      </c>
      <c r="D109" s="8">
        <v>0</v>
      </c>
      <c r="E109" s="8">
        <f>17.66</f>
        <v>17.66</v>
      </c>
      <c r="F109" s="11"/>
      <c r="G109" s="11">
        <f>17.66</f>
        <v>17.66</v>
      </c>
      <c r="H109" s="11"/>
      <c r="I109" s="8"/>
      <c r="J109" s="8">
        <f t="shared" si="2"/>
        <v>0</v>
      </c>
      <c r="K109" s="24"/>
      <c r="L109" s="24"/>
      <c r="M109" s="24"/>
      <c r="N109" s="24"/>
      <c r="O109" s="24"/>
      <c r="P109" s="24">
        <f t="shared" si="3"/>
        <v>0</v>
      </c>
    </row>
    <row r="110" s="2" customFormat="1" ht="18" customHeight="1" spans="1:16">
      <c r="A110" s="14" t="s">
        <v>154</v>
      </c>
      <c r="B110" s="4" t="s">
        <v>155</v>
      </c>
      <c r="C110" s="8" t="s">
        <v>18</v>
      </c>
      <c r="D110" s="8">
        <v>0</v>
      </c>
      <c r="E110" s="8">
        <f>31.46+5.72+28.34</f>
        <v>65.52</v>
      </c>
      <c r="F110" s="11">
        <f>6.46+25+18.34</f>
        <v>49.8</v>
      </c>
      <c r="G110" s="11"/>
      <c r="H110" s="11"/>
      <c r="I110" s="8"/>
      <c r="J110" s="8">
        <f t="shared" si="2"/>
        <v>15.72</v>
      </c>
      <c r="K110" s="24">
        <v>5.72</v>
      </c>
      <c r="L110" s="24">
        <v>10</v>
      </c>
      <c r="M110" s="24"/>
      <c r="N110" s="24"/>
      <c r="O110" s="24"/>
      <c r="P110" s="24">
        <f t="shared" si="3"/>
        <v>15.72</v>
      </c>
    </row>
    <row r="111" s="2" customFormat="1" ht="18" customHeight="1" spans="1:16">
      <c r="A111" s="9" t="s">
        <v>156</v>
      </c>
      <c r="B111" s="4" t="s">
        <v>155</v>
      </c>
      <c r="C111" s="8" t="s">
        <v>20</v>
      </c>
      <c r="D111" s="8">
        <v>0</v>
      </c>
      <c r="E111" s="8">
        <f>0.1+0.1</f>
        <v>0.2</v>
      </c>
      <c r="F111" s="11">
        <f>0.1</f>
        <v>0.1</v>
      </c>
      <c r="G111" s="11"/>
      <c r="H111" s="11"/>
      <c r="I111" s="8"/>
      <c r="J111" s="8">
        <f t="shared" si="2"/>
        <v>0.1</v>
      </c>
      <c r="K111" s="24">
        <v>0.1</v>
      </c>
      <c r="L111" s="24"/>
      <c r="M111" s="24"/>
      <c r="N111" s="24"/>
      <c r="O111" s="24"/>
      <c r="P111" s="24">
        <f t="shared" si="3"/>
        <v>0.1</v>
      </c>
    </row>
    <row r="112" s="2" customFormat="1" ht="18" customHeight="1" spans="1:16">
      <c r="A112" s="9" t="s">
        <v>152</v>
      </c>
      <c r="B112" s="8" t="s">
        <v>157</v>
      </c>
      <c r="C112" s="8" t="s">
        <v>20</v>
      </c>
      <c r="D112" s="8">
        <v>4.5</v>
      </c>
      <c r="E112" s="8">
        <f>3.85+26.02+8.8+7.7+35.32+4.86+45.72</f>
        <v>132.27</v>
      </c>
      <c r="F112" s="11">
        <f>4.86</f>
        <v>4.86</v>
      </c>
      <c r="G112" s="11">
        <f>8.35+8.8+26.02</f>
        <v>43.17</v>
      </c>
      <c r="H112" s="11"/>
      <c r="I112" s="8"/>
      <c r="J112" s="8">
        <f t="shared" si="2"/>
        <v>88.74</v>
      </c>
      <c r="K112" s="24">
        <v>48.08</v>
      </c>
      <c r="L112" s="24">
        <v>40.66</v>
      </c>
      <c r="M112" s="24"/>
      <c r="N112" s="24"/>
      <c r="O112" s="24"/>
      <c r="P112" s="24">
        <f t="shared" si="3"/>
        <v>88.74</v>
      </c>
    </row>
    <row r="113" s="2" customFormat="1" ht="18" customHeight="1" spans="1:16">
      <c r="A113" s="9" t="s">
        <v>152</v>
      </c>
      <c r="B113" s="8" t="s">
        <v>158</v>
      </c>
      <c r="C113" s="8" t="s">
        <v>20</v>
      </c>
      <c r="D113" s="8">
        <v>0</v>
      </c>
      <c r="E113" s="8">
        <f>0.9</f>
        <v>0.9</v>
      </c>
      <c r="F113" s="11"/>
      <c r="G113" s="11"/>
      <c r="H113" s="11"/>
      <c r="I113" s="8"/>
      <c r="J113" s="8">
        <f t="shared" si="2"/>
        <v>0.9</v>
      </c>
      <c r="K113" s="24"/>
      <c r="L113" s="24">
        <v>0.9</v>
      </c>
      <c r="M113" s="24"/>
      <c r="N113" s="24"/>
      <c r="O113" s="24"/>
      <c r="P113" s="24">
        <f t="shared" si="3"/>
        <v>0.9</v>
      </c>
    </row>
    <row r="114" s="2" customFormat="1" ht="18" customHeight="1" spans="1:16">
      <c r="A114" s="33" t="s">
        <v>159</v>
      </c>
      <c r="B114" s="8" t="s">
        <v>160</v>
      </c>
      <c r="C114" s="8" t="s">
        <v>20</v>
      </c>
      <c r="D114" s="8">
        <v>66.38</v>
      </c>
      <c r="E114" s="8">
        <f>25.5+29.12+22.44+31.82</f>
        <v>108.88</v>
      </c>
      <c r="F114" s="11"/>
      <c r="G114" s="11">
        <f>8.3+21.3+36.78</f>
        <v>66.38</v>
      </c>
      <c r="H114" s="11"/>
      <c r="I114" s="8"/>
      <c r="J114" s="8">
        <f t="shared" si="2"/>
        <v>108.88</v>
      </c>
      <c r="K114" s="24"/>
      <c r="L114" s="24"/>
      <c r="M114" s="24"/>
      <c r="N114" s="24">
        <v>108.88</v>
      </c>
      <c r="O114" s="24"/>
      <c r="P114" s="24">
        <f t="shared" si="3"/>
        <v>108.88</v>
      </c>
    </row>
    <row r="115" s="2" customFormat="1" ht="18" customHeight="1" spans="1:16">
      <c r="A115" s="34" t="s">
        <v>161</v>
      </c>
      <c r="B115" s="8" t="s">
        <v>162</v>
      </c>
      <c r="C115" s="8" t="s">
        <v>23</v>
      </c>
      <c r="D115" s="8">
        <v>0</v>
      </c>
      <c r="E115" s="8">
        <f>16.5+13.54+17.76+10.24+0.183</f>
        <v>58.223</v>
      </c>
      <c r="F115" s="11">
        <f>8.5+8+31.3+10.24+0.183</f>
        <v>58.223</v>
      </c>
      <c r="G115" s="11"/>
      <c r="H115" s="11"/>
      <c r="I115" s="8"/>
      <c r="J115" s="8">
        <f t="shared" si="2"/>
        <v>0</v>
      </c>
      <c r="K115" s="24"/>
      <c r="L115" s="24"/>
      <c r="M115" s="24"/>
      <c r="N115" s="24"/>
      <c r="O115" s="24"/>
      <c r="P115" s="24">
        <f t="shared" si="3"/>
        <v>0</v>
      </c>
    </row>
    <row r="116" s="2" customFormat="1" ht="18" customHeight="1" spans="1:16">
      <c r="A116" s="34" t="s">
        <v>163</v>
      </c>
      <c r="B116" s="8" t="s">
        <v>164</v>
      </c>
      <c r="C116" s="8" t="s">
        <v>23</v>
      </c>
      <c r="D116" s="8">
        <v>0</v>
      </c>
      <c r="E116" s="8">
        <f>10.29+3.81+9.59</f>
        <v>23.69</v>
      </c>
      <c r="F116" s="11">
        <f>1.31+5.4+3.95+9.59</f>
        <v>20.25</v>
      </c>
      <c r="G116" s="11"/>
      <c r="H116" s="11"/>
      <c r="I116" s="8"/>
      <c r="J116" s="8">
        <f t="shared" si="2"/>
        <v>3.44</v>
      </c>
      <c r="K116" s="24">
        <v>3.44</v>
      </c>
      <c r="L116" s="24"/>
      <c r="M116" s="24"/>
      <c r="N116" s="24"/>
      <c r="O116" s="24"/>
      <c r="P116" s="24">
        <f t="shared" si="3"/>
        <v>3.44</v>
      </c>
    </row>
    <row r="117" s="2" customFormat="1" ht="18" customHeight="1" spans="1:16">
      <c r="A117" s="10" t="s">
        <v>165</v>
      </c>
      <c r="B117" s="13" t="s">
        <v>166</v>
      </c>
      <c r="C117" s="8" t="s">
        <v>23</v>
      </c>
      <c r="D117" s="8">
        <v>986.842749999998</v>
      </c>
      <c r="E117" s="35">
        <f>967.48+797.624+808.7195+577.1253+906.2462+888.8807+864.984+1639.5806+1556.881+1804.12007+931.94637+1359.293295-981-16.98</f>
        <v>12104.901035</v>
      </c>
      <c r="F117" s="11">
        <f>936.46075+639.741+988.6805+780.6084+674.48+654.396+711.578+765.4386+1136.798+1127.71537+966.76437+993.3084-536.64</f>
        <v>9839.32939</v>
      </c>
      <c r="G117" s="11"/>
      <c r="H117" s="36">
        <f>15.89+46.493+41.17+64.3249+26.8662+41.84+42.83+29.024+60.8+45.3093+44.1+80.82166-0.01+523.803+232.3</f>
        <v>1295.56206</v>
      </c>
      <c r="I117" s="8"/>
      <c r="J117" s="8">
        <f t="shared" si="2"/>
        <v>1956.852335</v>
      </c>
      <c r="K117" s="24">
        <f>747.616335+400-200-100</f>
        <v>847.616335</v>
      </c>
      <c r="L117" s="24">
        <f>691.236</f>
        <v>691.236</v>
      </c>
      <c r="M117" s="24"/>
      <c r="N117" s="24"/>
      <c r="O117" s="24">
        <f>118+200+100</f>
        <v>418</v>
      </c>
      <c r="P117" s="24">
        <f t="shared" si="3"/>
        <v>1956.852335</v>
      </c>
    </row>
    <row r="118" s="2" customFormat="1" ht="18" customHeight="1" spans="1:16">
      <c r="A118" s="10" t="s">
        <v>165</v>
      </c>
      <c r="B118" s="13" t="s">
        <v>166</v>
      </c>
      <c r="C118" s="8" t="s">
        <v>18</v>
      </c>
      <c r="D118" s="8">
        <v>0</v>
      </c>
      <c r="E118" s="8">
        <f>2.76+1.22+15.28+4.76+5.58+12.68</f>
        <v>42.28</v>
      </c>
      <c r="F118" s="11">
        <f>2.76+1.22+15.28+4.76+18.26</f>
        <v>42.28</v>
      </c>
      <c r="G118" s="11"/>
      <c r="H118" s="11"/>
      <c r="I118" s="8"/>
      <c r="J118" s="8">
        <f t="shared" si="2"/>
        <v>0</v>
      </c>
      <c r="K118" s="24"/>
      <c r="L118" s="24"/>
      <c r="M118" s="24"/>
      <c r="N118" s="24"/>
      <c r="O118" s="24"/>
      <c r="P118" s="24">
        <f t="shared" si="3"/>
        <v>0</v>
      </c>
    </row>
    <row r="119" s="2" customFormat="1" ht="18" customHeight="1" spans="1:16">
      <c r="A119" s="10" t="s">
        <v>165</v>
      </c>
      <c r="B119" s="13" t="s">
        <v>166</v>
      </c>
      <c r="C119" s="8" t="s">
        <v>20</v>
      </c>
      <c r="D119" s="8">
        <v>0</v>
      </c>
      <c r="E119" s="8">
        <f>0.03+0.0497</f>
        <v>0.0797</v>
      </c>
      <c r="F119" s="11"/>
      <c r="G119" s="11">
        <f>0.03</f>
        <v>0.03</v>
      </c>
      <c r="H119" s="11"/>
      <c r="I119" s="8"/>
      <c r="J119" s="8">
        <f t="shared" si="2"/>
        <v>0.0497</v>
      </c>
      <c r="K119" s="24">
        <v>0.025</v>
      </c>
      <c r="L119" s="24">
        <v>0.0247</v>
      </c>
      <c r="M119" s="24"/>
      <c r="N119" s="24"/>
      <c r="O119" s="24"/>
      <c r="P119" s="24">
        <f t="shared" si="3"/>
        <v>0.0497</v>
      </c>
    </row>
    <row r="120" s="2" customFormat="1" ht="18" customHeight="1" spans="1:16">
      <c r="A120" s="9" t="s">
        <v>167</v>
      </c>
      <c r="B120" s="13" t="s">
        <v>168</v>
      </c>
      <c r="C120" s="8" t="s">
        <v>23</v>
      </c>
      <c r="D120" s="8">
        <v>0</v>
      </c>
      <c r="E120" s="8">
        <f>0.278+0.454+0.552+0.734+0.974+1.165+0.784+0.059</f>
        <v>5</v>
      </c>
      <c r="F120" s="11">
        <f>0.278+0.454+0.552+0.734+0.974+0.858+0.691+0.459</f>
        <v>5</v>
      </c>
      <c r="G120" s="11"/>
      <c r="H120" s="11"/>
      <c r="I120" s="8"/>
      <c r="J120" s="8">
        <f t="shared" si="2"/>
        <v>0</v>
      </c>
      <c r="K120" s="24"/>
      <c r="L120" s="24"/>
      <c r="M120" s="24"/>
      <c r="N120" s="24"/>
      <c r="O120" s="24"/>
      <c r="P120" s="24">
        <f t="shared" si="3"/>
        <v>0</v>
      </c>
    </row>
    <row r="121" s="2" customFormat="1" ht="18" customHeight="1" spans="1:16">
      <c r="A121" s="10" t="s">
        <v>169</v>
      </c>
      <c r="B121" s="13" t="s">
        <v>170</v>
      </c>
      <c r="C121" s="8" t="s">
        <v>23</v>
      </c>
      <c r="D121" s="8">
        <v>9.09</v>
      </c>
      <c r="E121" s="8">
        <f>2+3.84+5.87+4.86+5.87+1.38</f>
        <v>23.82</v>
      </c>
      <c r="F121" s="11">
        <f>6.5+2+8.43+8.73+1+0.18</f>
        <v>26.84</v>
      </c>
      <c r="G121" s="11"/>
      <c r="H121" s="11"/>
      <c r="I121" s="8"/>
      <c r="J121" s="8">
        <f t="shared" si="2"/>
        <v>6.07</v>
      </c>
      <c r="K121" s="24">
        <v>6.07</v>
      </c>
      <c r="L121" s="24"/>
      <c r="M121" s="24"/>
      <c r="N121" s="24"/>
      <c r="O121" s="24"/>
      <c r="P121" s="24">
        <f t="shared" si="3"/>
        <v>6.07</v>
      </c>
    </row>
    <row r="122" s="2" customFormat="1" ht="18" customHeight="1" spans="1:16">
      <c r="A122" s="10" t="s">
        <v>169</v>
      </c>
      <c r="B122" s="13" t="s">
        <v>170</v>
      </c>
      <c r="C122" s="8" t="s">
        <v>18</v>
      </c>
      <c r="D122" s="8">
        <v>1.25</v>
      </c>
      <c r="E122" s="8">
        <f>1.3</f>
        <v>1.3</v>
      </c>
      <c r="F122" s="11">
        <f>1.25</f>
        <v>1.25</v>
      </c>
      <c r="G122" s="11"/>
      <c r="H122" s="11"/>
      <c r="I122" s="8"/>
      <c r="J122" s="8">
        <f t="shared" si="2"/>
        <v>1.3</v>
      </c>
      <c r="K122" s="24"/>
      <c r="L122" s="24">
        <v>1.3</v>
      </c>
      <c r="M122" s="24"/>
      <c r="N122" s="24"/>
      <c r="O122" s="24"/>
      <c r="P122" s="24">
        <f t="shared" si="3"/>
        <v>1.3</v>
      </c>
    </row>
    <row r="123" s="2" customFormat="1" ht="18" customHeight="1" spans="1:16">
      <c r="A123" s="9" t="s">
        <v>129</v>
      </c>
      <c r="B123" s="13" t="s">
        <v>171</v>
      </c>
      <c r="C123" s="8" t="s">
        <v>18</v>
      </c>
      <c r="D123" s="8">
        <v>0</v>
      </c>
      <c r="E123" s="8">
        <f>1.3</f>
        <v>1.3</v>
      </c>
      <c r="F123" s="11">
        <f>1.3</f>
        <v>1.3</v>
      </c>
      <c r="G123" s="11"/>
      <c r="H123" s="11"/>
      <c r="I123" s="8"/>
      <c r="J123" s="8">
        <f t="shared" si="2"/>
        <v>0</v>
      </c>
      <c r="K123" s="24"/>
      <c r="L123" s="24"/>
      <c r="M123" s="24"/>
      <c r="N123" s="24"/>
      <c r="O123" s="24"/>
      <c r="P123" s="24">
        <f t="shared" si="3"/>
        <v>0</v>
      </c>
    </row>
    <row r="124" s="2" customFormat="1" ht="18" customHeight="1" spans="1:16">
      <c r="A124" s="9" t="s">
        <v>172</v>
      </c>
      <c r="B124" s="13" t="s">
        <v>171</v>
      </c>
      <c r="C124" s="8" t="s">
        <v>23</v>
      </c>
      <c r="D124" s="8">
        <v>0</v>
      </c>
      <c r="E124" s="8">
        <f>5+9.015+0.577+1.7991+4.6505</f>
        <v>21.0416</v>
      </c>
      <c r="F124" s="11">
        <f>5+7.5+1.515+0.577+2.05</f>
        <v>16.642</v>
      </c>
      <c r="G124" s="11"/>
      <c r="H124" s="11"/>
      <c r="I124" s="8"/>
      <c r="J124" s="8">
        <f t="shared" si="2"/>
        <v>4.3996</v>
      </c>
      <c r="K124" s="24">
        <v>4.3996</v>
      </c>
      <c r="L124" s="24"/>
      <c r="M124" s="24"/>
      <c r="N124" s="24"/>
      <c r="O124" s="24"/>
      <c r="P124" s="24">
        <f t="shared" si="3"/>
        <v>4.3996</v>
      </c>
    </row>
    <row r="125" s="2" customFormat="1" ht="18" customHeight="1" spans="1:16">
      <c r="A125" s="21" t="s">
        <v>173</v>
      </c>
      <c r="B125" s="7" t="s">
        <v>174</v>
      </c>
      <c r="C125" s="8" t="s">
        <v>23</v>
      </c>
      <c r="D125" s="8">
        <v>7.791</v>
      </c>
      <c r="E125" s="8">
        <f>1.69+5.4888+11.35+20.4924+1.877+4.888+17.872+5.076+2.335+15.3839</f>
        <v>86.4531</v>
      </c>
      <c r="F125" s="8">
        <f>0.3+0.91+3.7088+2.56+9.05+12.9444+14.421+22.565+5.183+2.135+11.2199</f>
        <v>84.9971</v>
      </c>
      <c r="G125" s="8"/>
      <c r="H125" s="8"/>
      <c r="I125" s="8"/>
      <c r="J125" s="8">
        <f t="shared" si="2"/>
        <v>9.24699999999999</v>
      </c>
      <c r="K125" s="24"/>
      <c r="L125" s="24">
        <v>9.247</v>
      </c>
      <c r="M125" s="24"/>
      <c r="N125" s="24"/>
      <c r="O125" s="24"/>
      <c r="P125" s="24">
        <f t="shared" si="3"/>
        <v>9.247</v>
      </c>
    </row>
    <row r="126" s="2" customFormat="1" ht="18" customHeight="1" spans="1:16">
      <c r="A126" s="9" t="s">
        <v>175</v>
      </c>
      <c r="B126" s="13" t="s">
        <v>176</v>
      </c>
      <c r="C126" s="8" t="s">
        <v>23</v>
      </c>
      <c r="D126" s="8">
        <v>1</v>
      </c>
      <c r="E126" s="8">
        <f>0.9996+3.33+0.6915+1.215+0.584+0.313+5.065+1.959+1.034+1.3598+8.299-0.5</f>
        <v>24.3499</v>
      </c>
      <c r="F126" s="11">
        <f>0.9996+2.9705+2.051+1.215+0.376+0.521+5.065+1.873+0.136+2.3438+4.289-0.5</f>
        <v>21.3399</v>
      </c>
      <c r="G126" s="11"/>
      <c r="H126" s="11"/>
      <c r="I126" s="8"/>
      <c r="J126" s="8">
        <f t="shared" si="2"/>
        <v>4.01</v>
      </c>
      <c r="K126" s="24"/>
      <c r="L126" s="24">
        <v>4.01</v>
      </c>
      <c r="M126" s="24"/>
      <c r="N126" s="24"/>
      <c r="O126" s="24"/>
      <c r="P126" s="24">
        <f t="shared" si="3"/>
        <v>4.01</v>
      </c>
    </row>
    <row r="127" s="2" customFormat="1" ht="18" customHeight="1" spans="1:16">
      <c r="A127" s="9" t="s">
        <v>177</v>
      </c>
      <c r="B127" s="13" t="s">
        <v>176</v>
      </c>
      <c r="C127" s="8" t="s">
        <v>20</v>
      </c>
      <c r="D127" s="8">
        <v>257.582</v>
      </c>
      <c r="E127" s="8">
        <f>1.54+9.234+92.6305+48.703+49.8926+45.3121+57.19015+28.91565+49.75611+30.06863+62.90162+93.079986</f>
        <v>569.224346</v>
      </c>
      <c r="F127" s="11">
        <f>4.052+8.264+2.78+0.2361+2.22+1.62955+0.5728+14.72162+34.948126</f>
        <v>69.424196</v>
      </c>
      <c r="G127" s="11">
        <f>96.484+55.1155+9.791+127.1626+29.15015+53.0181+123.71411+134.43483</f>
        <v>628.87029</v>
      </c>
      <c r="H127" s="11"/>
      <c r="I127" s="8"/>
      <c r="J127" s="8">
        <f t="shared" si="2"/>
        <v>128.51186</v>
      </c>
      <c r="K127" s="24">
        <v>1.5</v>
      </c>
      <c r="L127" s="24">
        <v>127.01186</v>
      </c>
      <c r="M127" s="24"/>
      <c r="N127" s="24"/>
      <c r="O127" s="24"/>
      <c r="P127" s="24">
        <f t="shared" si="3"/>
        <v>128.51186</v>
      </c>
    </row>
    <row r="128" s="2" customFormat="1" ht="18" customHeight="1" spans="1:16">
      <c r="A128" s="10" t="s">
        <v>178</v>
      </c>
      <c r="B128" s="13" t="s">
        <v>179</v>
      </c>
      <c r="C128" s="8" t="s">
        <v>20</v>
      </c>
      <c r="D128" s="8">
        <v>0</v>
      </c>
      <c r="E128" s="8">
        <f>2.2+1.996</f>
        <v>4.196</v>
      </c>
      <c r="F128" s="8"/>
      <c r="G128" s="8">
        <f>2.2</f>
        <v>2.2</v>
      </c>
      <c r="H128" s="8"/>
      <c r="I128" s="8"/>
      <c r="J128" s="8">
        <f t="shared" si="2"/>
        <v>1.996</v>
      </c>
      <c r="K128" s="24">
        <v>1.996</v>
      </c>
      <c r="L128" s="24"/>
      <c r="M128" s="24"/>
      <c r="N128" s="24"/>
      <c r="O128" s="24"/>
      <c r="P128" s="24">
        <f t="shared" si="3"/>
        <v>1.996</v>
      </c>
    </row>
    <row r="129" s="2" customFormat="1" ht="18" customHeight="1" spans="1:16">
      <c r="A129" s="10" t="s">
        <v>178</v>
      </c>
      <c r="B129" s="13" t="s">
        <v>179</v>
      </c>
      <c r="C129" s="8" t="s">
        <v>23</v>
      </c>
      <c r="D129" s="8">
        <v>0</v>
      </c>
      <c r="E129" s="8">
        <f>8.5+0.012+12.04228</f>
        <v>20.55428</v>
      </c>
      <c r="F129" s="11">
        <f>8.5+0.012+12.04228</f>
        <v>20.55428</v>
      </c>
      <c r="G129" s="11"/>
      <c r="H129" s="11"/>
      <c r="I129" s="8"/>
      <c r="J129" s="8">
        <f t="shared" si="2"/>
        <v>0</v>
      </c>
      <c r="K129" s="24"/>
      <c r="L129" s="24"/>
      <c r="M129" s="24"/>
      <c r="N129" s="24"/>
      <c r="O129" s="24"/>
      <c r="P129" s="24">
        <f t="shared" si="3"/>
        <v>0</v>
      </c>
    </row>
    <row r="130" s="2" customFormat="1" ht="18" customHeight="1" spans="1:16">
      <c r="A130" s="9" t="s">
        <v>180</v>
      </c>
      <c r="B130" s="13">
        <v>26115250</v>
      </c>
      <c r="C130" s="8" t="s">
        <v>18</v>
      </c>
      <c r="D130" s="8">
        <v>0</v>
      </c>
      <c r="E130" s="8">
        <f>7.74+3.46+3.9+6.42</f>
        <v>21.52</v>
      </c>
      <c r="F130" s="8">
        <f>7.74+7.36+6.42</f>
        <v>21.52</v>
      </c>
      <c r="G130" s="8"/>
      <c r="H130" s="8"/>
      <c r="I130" s="8"/>
      <c r="J130" s="8">
        <f t="shared" si="2"/>
        <v>0</v>
      </c>
      <c r="K130" s="24"/>
      <c r="L130" s="24"/>
      <c r="M130" s="24"/>
      <c r="N130" s="24"/>
      <c r="O130" s="24"/>
      <c r="P130" s="24">
        <f t="shared" si="3"/>
        <v>0</v>
      </c>
    </row>
    <row r="131" s="2" customFormat="1" ht="18" customHeight="1" spans="1:16">
      <c r="A131" s="10" t="s">
        <v>181</v>
      </c>
      <c r="B131" s="10"/>
      <c r="C131" s="8"/>
      <c r="D131" s="8">
        <v>6913.28064999999</v>
      </c>
      <c r="E131" s="37">
        <f t="shared" ref="E131:I131" si="4">SUM(E4:E130)</f>
        <v>26810.582551</v>
      </c>
      <c r="F131" s="37">
        <f t="shared" si="4"/>
        <v>14274.498966</v>
      </c>
      <c r="G131" s="13">
        <f t="shared" si="4"/>
        <v>2421.99337</v>
      </c>
      <c r="H131" s="13">
        <f t="shared" si="4"/>
        <v>1783.88631</v>
      </c>
      <c r="I131" s="8">
        <f t="shared" si="4"/>
        <v>8751.629</v>
      </c>
      <c r="J131" s="8">
        <f t="shared" si="2"/>
        <v>6491.85555499998</v>
      </c>
      <c r="K131" s="24">
        <f t="shared" ref="K131:O131" si="5">SUM(K3:K130)</f>
        <v>1343.358995</v>
      </c>
      <c r="L131" s="24">
        <f t="shared" si="5"/>
        <v>1507.51696</v>
      </c>
      <c r="M131" s="24">
        <f t="shared" si="5"/>
        <v>291.185</v>
      </c>
      <c r="N131" s="24">
        <f t="shared" si="5"/>
        <v>2931.7946</v>
      </c>
      <c r="O131" s="24">
        <f t="shared" si="5"/>
        <v>418</v>
      </c>
      <c r="P131" s="24">
        <f>SUM(K131:O131)</f>
        <v>6491.855555</v>
      </c>
    </row>
    <row r="132" s="1" customFormat="1" ht="25" customHeight="1" spans="1:16">
      <c r="A132" s="38" t="s">
        <v>182</v>
      </c>
      <c r="B132" s="38"/>
      <c r="C132" s="38"/>
      <c r="D132" s="39"/>
      <c r="E132" s="39"/>
      <c r="F132" s="40">
        <f>F131+G131+H131+I131</f>
        <v>27232.007646</v>
      </c>
      <c r="G132" s="41"/>
      <c r="H132" s="41"/>
      <c r="I132" s="42"/>
      <c r="J132" s="39"/>
      <c r="K132" s="23"/>
      <c r="L132" s="23"/>
      <c r="M132" s="23"/>
      <c r="N132" s="23"/>
      <c r="O132" s="23"/>
      <c r="P132" s="23"/>
    </row>
  </sheetData>
  <mergeCells count="9">
    <mergeCell ref="A1:J1"/>
    <mergeCell ref="F2:I2"/>
    <mergeCell ref="F132:I132"/>
    <mergeCell ref="A2:A3"/>
    <mergeCell ref="B2:B3"/>
    <mergeCell ref="C2:C3"/>
    <mergeCell ref="D2:D3"/>
    <mergeCell ref="E2:E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菲</cp:lastModifiedBy>
  <dcterms:created xsi:type="dcterms:W3CDTF">2024-01-04T05:32:00Z</dcterms:created>
  <dcterms:modified xsi:type="dcterms:W3CDTF">2024-01-12T03:24:04Z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74A921D165BA4F33AADD36063D8DD7D1_11</vt:lpwstr>
  </property>
  <property fmtid="{D5CDD505-2E9C-101B-9397-08002B2CF9AE}" pid="3" name="KSOProductBuildVer">
    <vt:lpwstr>2052-11.1.0.14309</vt:lpwstr>
  </property>
</Properties>
</file>